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35" windowHeight="8385" activeTab="2"/>
  </bookViews>
  <sheets>
    <sheet name="Balance Sheet" sheetId="1" r:id="rId1"/>
    <sheet name="Operating" sheetId="2" r:id="rId2"/>
    <sheet name="Related" sheetId="3" r:id="rId3"/>
  </sheets>
  <definedNames>
    <definedName name="_xlnm.Print_Area" localSheetId="0">'Balance Sheet'!$A$1:$D$47</definedName>
    <definedName name="_xlnm.Print_Area" localSheetId="1">'Operating'!$A$1:$S$80</definedName>
    <definedName name="_xlnm.Print_Area" localSheetId="2">'Related'!$A$1:$Q$16</definedName>
    <definedName name="_xlnm.Print_Titles" localSheetId="1">'Operating'!$1:$11</definedName>
    <definedName name="_xlnm.Print_Titles" localSheetId="2">'Related'!$1:$11</definedName>
  </definedNames>
  <calcPr fullCalcOnLoad="1"/>
</workbook>
</file>

<file path=xl/sharedStrings.xml><?xml version="1.0" encoding="utf-8"?>
<sst xmlns="http://schemas.openxmlformats.org/spreadsheetml/2006/main" count="132" uniqueCount="112">
  <si>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</si>
  <si>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</si>
  <si>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</si>
  <si>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</si>
  <si>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</si>
  <si>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</si>
  <si>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</si>
  <si>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</si>
  <si>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</si>
  <si>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</si>
  <si>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</si>
  <si>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</si>
  <si>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</si>
  <si>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</si>
  <si>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</si>
  <si>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</si>
  <si>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</si>
  <si>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</si>
  <si>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</si>
  <si>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</si>
  <si>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 xml:space="preserve">        Equipment purchases</t>
  </si>
  <si>
    <t>Wages</t>
  </si>
  <si>
    <t>Related</t>
  </si>
  <si>
    <t>Benefits</t>
  </si>
  <si>
    <t>Supplies &amp;</t>
  </si>
  <si>
    <t>Expenses</t>
  </si>
  <si>
    <t>Utilities &amp;</t>
  </si>
  <si>
    <t>Prin. &amp; Int.</t>
  </si>
  <si>
    <t>Depreciation</t>
  </si>
  <si>
    <t>Revenues</t>
  </si>
  <si>
    <t>over</t>
  </si>
  <si>
    <t>Expenditures</t>
  </si>
  <si>
    <t xml:space="preserve">    Debt service</t>
  </si>
  <si>
    <t>ATHLETICS</t>
  </si>
  <si>
    <t>Scholarships</t>
  </si>
  <si>
    <t xml:space="preserve">    Athletic administration</t>
  </si>
  <si>
    <t xml:space="preserve">    Event management</t>
  </si>
  <si>
    <t xml:space="preserve">    Facilities management</t>
  </si>
  <si>
    <t xml:space="preserve">    Insurance &amp; legal</t>
  </si>
  <si>
    <t xml:space="preserve">    Interest-endowed scholarship</t>
  </si>
  <si>
    <t xml:space="preserve">    Interest on investments</t>
  </si>
  <si>
    <t xml:space="preserve">    Marketing &amp; promotion</t>
  </si>
  <si>
    <t xml:space="preserve">    Miscellaneous</t>
  </si>
  <si>
    <t xml:space="preserve">    Net revenue - related activities</t>
  </si>
  <si>
    <t xml:space="preserve">    Sports information office</t>
  </si>
  <si>
    <t xml:space="preserve">    Ticket office</t>
  </si>
  <si>
    <t xml:space="preserve">    Tradition fund</t>
  </si>
  <si>
    <t xml:space="preserve">    Video support</t>
  </si>
  <si>
    <t xml:space="preserve">        Total administration</t>
  </si>
  <si>
    <t xml:space="preserve">Team sports - </t>
  </si>
  <si>
    <t xml:space="preserve">Administration - </t>
  </si>
  <si>
    <t xml:space="preserve">    Football</t>
  </si>
  <si>
    <t xml:space="preserve">    Basketball - Women's</t>
  </si>
  <si>
    <t xml:space="preserve">    Basketball - Men's</t>
  </si>
  <si>
    <t xml:space="preserve">    Baseball</t>
  </si>
  <si>
    <t xml:space="preserve">    Softball</t>
  </si>
  <si>
    <t xml:space="preserve">    Golf - Men's</t>
  </si>
  <si>
    <t xml:space="preserve">    Golf - Women's</t>
  </si>
  <si>
    <t xml:space="preserve">    Gymnastics - Women's</t>
  </si>
  <si>
    <t xml:space="preserve">    Soccer - Women's</t>
  </si>
  <si>
    <t xml:space="preserve">    Swimming</t>
  </si>
  <si>
    <t xml:space="preserve">    Tennis - Men's</t>
  </si>
  <si>
    <t xml:space="preserve">    Tennis - Women's</t>
  </si>
  <si>
    <t xml:space="preserve">    Track &amp; field</t>
  </si>
  <si>
    <t xml:space="preserve">    Volleyball - Women's</t>
  </si>
  <si>
    <t xml:space="preserve">        Total team sports</t>
  </si>
  <si>
    <t xml:space="preserve">Team support - </t>
  </si>
  <si>
    <t xml:space="preserve">    Band</t>
  </si>
  <si>
    <t xml:space="preserve">    Spirit squad</t>
  </si>
  <si>
    <t xml:space="preserve">    Equipment rooms</t>
  </si>
  <si>
    <t xml:space="preserve">    Training rooms</t>
  </si>
  <si>
    <t xml:space="preserve">    Weight rooms</t>
  </si>
  <si>
    <t xml:space="preserve">        Total team support</t>
  </si>
  <si>
    <t>Total before nonrecurring items</t>
  </si>
  <si>
    <t>Nonrecurring items:</t>
  </si>
  <si>
    <t xml:space="preserve">        Basketball - Women's</t>
  </si>
  <si>
    <t xml:space="preserve">        Baseball</t>
  </si>
  <si>
    <t xml:space="preserve">        Softball</t>
  </si>
  <si>
    <t xml:space="preserve">        Gymnastics - Women's</t>
  </si>
  <si>
    <t xml:space="preserve">    Post-season activity - </t>
  </si>
  <si>
    <t xml:space="preserve">        Football</t>
  </si>
  <si>
    <t xml:space="preserve">        Basketball - Men's</t>
  </si>
  <si>
    <t xml:space="preserve">        Golf - Men's</t>
  </si>
  <si>
    <t xml:space="preserve">        Golf - Women's</t>
  </si>
  <si>
    <t xml:space="preserve">        Soccer - Women's</t>
  </si>
  <si>
    <t xml:space="preserve">        Swimming</t>
  </si>
  <si>
    <t xml:space="preserve">        Tennis - Men's</t>
  </si>
  <si>
    <t xml:space="preserve">        Tennis - Women's</t>
  </si>
  <si>
    <t xml:space="preserve">        Track &amp; field</t>
  </si>
  <si>
    <t xml:space="preserve">            Total post-season activity</t>
  </si>
  <si>
    <t>Total nonrecurring items</t>
  </si>
  <si>
    <t xml:space="preserve">                Total</t>
  </si>
  <si>
    <t>ATHLETIC RELATED ACTIVITIES</t>
  </si>
  <si>
    <t>Tiger Gift Center</t>
  </si>
  <si>
    <t>Concessions</t>
  </si>
  <si>
    <t xml:space="preserve">        Net transfers to restricted fund</t>
  </si>
  <si>
    <t xml:space="preserve">    SEC distribution</t>
  </si>
  <si>
    <t xml:space="preserve">            Total equipment renewals and replacements</t>
  </si>
  <si>
    <t xml:space="preserve">        Net transfers to plant fund</t>
  </si>
  <si>
    <t xml:space="preserve">    Deferred charges and prepaid expenses</t>
  </si>
  <si>
    <t>ANALYSIS OF REVENUES AND EXPENDITURES</t>
  </si>
  <si>
    <t xml:space="preserve">        Net transfers to unrestricted fund</t>
  </si>
  <si>
    <t xml:space="preserve">    TAF scholarship donation</t>
  </si>
  <si>
    <t xml:space="preserve">    Deposits held for others</t>
  </si>
  <si>
    <t>FOR THE YEAR ENDED JUNE 30, 2017</t>
  </si>
  <si>
    <t>AS OF JUNE 30, 2017</t>
  </si>
  <si>
    <t>Salaries &amp;</t>
  </si>
  <si>
    <t xml:space="preserve">        Beach Volleyball - Women's</t>
  </si>
  <si>
    <t xml:space="preserve">    Beach Volleyball - Women's</t>
  </si>
  <si>
    <t>Electronic Media</t>
  </si>
  <si>
    <t>Utilities</t>
  </si>
  <si>
    <t xml:space="preserve">    Team support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</si>
</sst>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7" fontId="46" fillId="0" borderId="0" xfId="59" applyFont="1" applyFill="1" applyAlignment="1" applyProtection="1">
      <alignment vertical="center"/>
      <protection/>
    </xf>
    <xf numFmtId="164" fontId="46" fillId="0" borderId="0" xfId="48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Alignment="1" applyProtection="1">
      <alignment vertical="center"/>
      <protection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 applyProtection="1">
      <alignment horizontal="left" vertical="center"/>
      <protection/>
    </xf>
    <xf numFmtId="0" fontId="4" fillId="0" borderId="0" xfId="0" applyFont="1" applyBorder="1" applyAlignment="1">
      <alignment horizontal="center"/>
    </xf>
    <xf numFmtId="164" fontId="4" fillId="0" borderId="13" xfId="46" applyNumberFormat="1" applyFont="1" applyFill="1" applyBorder="1" applyAlignment="1" applyProtection="1">
      <alignment vertical="center"/>
      <protection/>
    </xf>
    <xf numFmtId="37" fontId="48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5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38100</xdr:rowOff>
    </xdr:from>
    <xdr:to>
      <xdr:col>0</xdr:col>
      <xdr:colOff>1647825</xdr:colOff>
      <xdr:row>6</xdr:row>
      <xdr:rowOff>19050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647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1619250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1619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0</xdr:col>
      <xdr:colOff>1562100</xdr:colOff>
      <xdr:row>5</xdr:row>
      <xdr:rowOff>152400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0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7"/>
  <sheetViews>
    <sheetView zoomScalePageLayoutView="0" workbookViewId="0" topLeftCell="A31">
      <selection activeCell="J8" sqref="J8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3" spans="1:4" ht="16.5">
      <c r="A3" s="39"/>
      <c r="B3" s="37" t="s">
        <v>33</v>
      </c>
      <c r="C3" s="37"/>
      <c r="D3" s="37"/>
    </row>
    <row r="4" spans="1:4" ht="9" customHeight="1">
      <c r="A4" s="39"/>
      <c r="B4" s="1"/>
      <c r="C4" s="2"/>
      <c r="D4" s="3"/>
    </row>
    <row r="5" spans="1:4" ht="15.75">
      <c r="A5" s="39"/>
      <c r="B5" s="38" t="s">
        <v>0</v>
      </c>
      <c r="C5" s="38"/>
      <c r="D5" s="38"/>
    </row>
    <row r="6" spans="1:4" ht="15.75">
      <c r="A6" s="39"/>
      <c r="B6" s="38" t="s">
        <v>105</v>
      </c>
      <c r="C6" s="38"/>
      <c r="D6" s="38"/>
    </row>
    <row r="7" ht="13.5"/>
    <row r="10" spans="1:4" ht="15.75">
      <c r="A10" s="12" t="s">
        <v>1</v>
      </c>
      <c r="B10" s="12"/>
      <c r="C10" s="13"/>
      <c r="D10" s="12"/>
    </row>
    <row r="11" spans="1:4" ht="15.75">
      <c r="A11" s="12" t="s">
        <v>2</v>
      </c>
      <c r="B11" s="12"/>
      <c r="C11" s="14"/>
      <c r="D11" s="15">
        <v>30700219</v>
      </c>
    </row>
    <row r="12" spans="1:4" ht="15.75">
      <c r="A12" s="12" t="s">
        <v>17</v>
      </c>
      <c r="B12" s="12"/>
      <c r="C12" s="14"/>
      <c r="D12" s="27">
        <v>641386</v>
      </c>
    </row>
    <row r="13" spans="1:4" ht="15.75">
      <c r="A13" s="12" t="s">
        <v>99</v>
      </c>
      <c r="B13" s="12"/>
      <c r="C13" s="14"/>
      <c r="D13" s="27">
        <v>1219402</v>
      </c>
    </row>
    <row r="14" spans="1:4" ht="15.75">
      <c r="A14" s="12" t="s">
        <v>3</v>
      </c>
      <c r="B14" s="12"/>
      <c r="C14" s="16"/>
      <c r="D14" s="17">
        <f>SUM(D11:D13)</f>
        <v>32561007</v>
      </c>
    </row>
    <row r="15" spans="1:4" ht="15.75">
      <c r="A15" s="12"/>
      <c r="B15" s="12"/>
      <c r="C15" s="16"/>
      <c r="D15" s="16"/>
    </row>
    <row r="16" spans="1:4" ht="15.75">
      <c r="A16" s="12" t="s">
        <v>4</v>
      </c>
      <c r="B16" s="12"/>
      <c r="C16" s="16"/>
      <c r="D16" s="16"/>
    </row>
    <row r="17" spans="1:4" ht="15.75">
      <c r="A17" s="12" t="s">
        <v>5</v>
      </c>
      <c r="B17" s="12"/>
      <c r="C17" s="16"/>
      <c r="D17" s="16">
        <f>2243458+1</f>
        <v>2243459</v>
      </c>
    </row>
    <row r="18" spans="1:4" ht="15.75">
      <c r="A18" s="12" t="s">
        <v>103</v>
      </c>
      <c r="B18" s="12"/>
      <c r="C18" s="16"/>
      <c r="D18" s="16">
        <v>0</v>
      </c>
    </row>
    <row r="19" spans="1:4" ht="15.75">
      <c r="A19" s="12" t="s">
        <v>19</v>
      </c>
      <c r="B19" s="12"/>
      <c r="C19" s="16"/>
      <c r="D19" s="16">
        <v>28755261</v>
      </c>
    </row>
    <row r="20" spans="1:4" ht="15.75">
      <c r="A20" s="12" t="s">
        <v>6</v>
      </c>
      <c r="B20" s="12"/>
      <c r="C20" s="16"/>
      <c r="D20" s="17">
        <f>SUM(D17:D19)</f>
        <v>30998720</v>
      </c>
    </row>
    <row r="21" spans="1:4" ht="15.75">
      <c r="A21" s="12"/>
      <c r="B21" s="12"/>
      <c r="C21" s="16"/>
      <c r="D21" s="18"/>
    </row>
    <row r="22" spans="1:4" ht="16.5" thickBot="1">
      <c r="A22" s="12" t="s">
        <v>7</v>
      </c>
      <c r="B22" s="12"/>
      <c r="C22" s="16"/>
      <c r="D22" s="19">
        <f>D14-D20</f>
        <v>1562287</v>
      </c>
    </row>
    <row r="23" spans="1:4" s="11" customFormat="1" ht="16.5" thickTop="1">
      <c r="A23" s="6"/>
      <c r="B23" s="6"/>
      <c r="C23" s="8"/>
      <c r="D23" s="9"/>
    </row>
    <row r="24" spans="1:4" s="11" customFormat="1" ht="15.75">
      <c r="A24" s="6"/>
      <c r="B24" s="6"/>
      <c r="C24" s="8"/>
      <c r="D24" s="9"/>
    </row>
    <row r="25" spans="1:4" s="11" customFormat="1" ht="15.75">
      <c r="A25" s="6"/>
      <c r="B25" s="6"/>
      <c r="C25" s="8"/>
      <c r="D25" s="9"/>
    </row>
    <row r="26" spans="1:4" s="11" customFormat="1" ht="15.75">
      <c r="A26" s="6"/>
      <c r="B26" s="38" t="s">
        <v>8</v>
      </c>
      <c r="C26" s="38"/>
      <c r="D26" s="38"/>
    </row>
    <row r="27" spans="1:4" ht="15.75">
      <c r="A27" s="6"/>
      <c r="B27" s="38" t="s">
        <v>104</v>
      </c>
      <c r="C27" s="38"/>
      <c r="D27" s="38"/>
    </row>
    <row r="28" spans="1:4" ht="9.75" customHeight="1">
      <c r="A28" s="6"/>
      <c r="B28" s="23"/>
      <c r="C28" s="23"/>
      <c r="D28" s="23"/>
    </row>
    <row r="29" spans="1:4" ht="6" customHeight="1">
      <c r="A29" s="6"/>
      <c r="B29" s="23"/>
      <c r="C29" s="23"/>
      <c r="D29" s="23"/>
    </row>
    <row r="30" spans="1:4" ht="15.75">
      <c r="A30" s="6"/>
      <c r="B30" s="6"/>
      <c r="C30" s="8"/>
      <c r="D30" s="9"/>
    </row>
    <row r="31" spans="1:4" ht="15.75">
      <c r="A31" s="12" t="s">
        <v>9</v>
      </c>
      <c r="B31" s="12"/>
      <c r="C31" s="16"/>
      <c r="D31" s="18"/>
    </row>
    <row r="32" spans="1:4" ht="15.75">
      <c r="A32" s="12" t="s">
        <v>10</v>
      </c>
      <c r="B32" s="12"/>
      <c r="C32" s="16"/>
      <c r="D32" s="18"/>
    </row>
    <row r="33" spans="1:4" ht="15.75">
      <c r="A33" s="12" t="s">
        <v>11</v>
      </c>
      <c r="B33" s="12"/>
      <c r="C33" s="16"/>
      <c r="D33" s="20">
        <v>842308</v>
      </c>
    </row>
    <row r="34" spans="1:4" ht="15.75">
      <c r="A34" s="12" t="s">
        <v>12</v>
      </c>
      <c r="B34" s="12"/>
      <c r="C34" s="16"/>
      <c r="D34" s="16">
        <f>9876148-1</f>
        <v>9876147</v>
      </c>
    </row>
    <row r="35" spans="1:4" ht="15.75">
      <c r="A35" s="12" t="s">
        <v>98</v>
      </c>
      <c r="B35" s="12"/>
      <c r="C35" s="16"/>
      <c r="D35" s="16">
        <v>-7139155</v>
      </c>
    </row>
    <row r="36" spans="1:4" ht="15.75">
      <c r="A36" s="12" t="s">
        <v>101</v>
      </c>
      <c r="B36" s="12"/>
      <c r="C36" s="16"/>
      <c r="D36" s="16">
        <v>-1842898</v>
      </c>
    </row>
    <row r="37" spans="1:4" ht="15.75">
      <c r="A37" s="12" t="s">
        <v>95</v>
      </c>
      <c r="B37" s="12"/>
      <c r="C37" s="16"/>
      <c r="D37" s="16">
        <v>-957096</v>
      </c>
    </row>
    <row r="38" spans="1:4" ht="15.75">
      <c r="A38" s="12" t="s">
        <v>13</v>
      </c>
      <c r="B38" s="12"/>
      <c r="C38" s="16"/>
      <c r="D38" s="17">
        <f>SUM(D33:D37)</f>
        <v>779306</v>
      </c>
    </row>
    <row r="39" spans="1:4" ht="15.75">
      <c r="A39" s="12"/>
      <c r="B39" s="12"/>
      <c r="C39" s="16"/>
      <c r="D39" s="16"/>
    </row>
    <row r="40" spans="1:4" ht="15.75">
      <c r="A40" s="12" t="s">
        <v>14</v>
      </c>
      <c r="B40" s="12"/>
      <c r="C40" s="16"/>
      <c r="D40" s="16"/>
    </row>
    <row r="41" spans="1:4" ht="15.75">
      <c r="A41" s="12" t="s">
        <v>11</v>
      </c>
      <c r="B41" s="12"/>
      <c r="C41" s="16"/>
      <c r="D41" s="16">
        <v>697441</v>
      </c>
    </row>
    <row r="42" spans="1:4" ht="15.75">
      <c r="A42" s="12" t="s">
        <v>15</v>
      </c>
      <c r="B42" s="12"/>
      <c r="C42" s="16"/>
      <c r="D42" s="16">
        <v>699632</v>
      </c>
    </row>
    <row r="43" spans="1:4" ht="15.75">
      <c r="A43" s="12" t="s">
        <v>20</v>
      </c>
      <c r="B43" s="12"/>
      <c r="C43" s="16"/>
      <c r="D43" s="16">
        <v>-614092</v>
      </c>
    </row>
    <row r="44" spans="1:4" ht="15.75">
      <c r="A44" s="12" t="s">
        <v>97</v>
      </c>
      <c r="B44" s="12"/>
      <c r="C44" s="16"/>
      <c r="D44" s="21">
        <f>SUM(D41:D43)</f>
        <v>782981</v>
      </c>
    </row>
    <row r="45" spans="1:4" ht="15.75">
      <c r="A45" s="12"/>
      <c r="B45" s="12"/>
      <c r="C45" s="13"/>
      <c r="D45" s="16"/>
    </row>
    <row r="46" spans="1:4" ht="16.5" thickBot="1">
      <c r="A46" s="12" t="s">
        <v>16</v>
      </c>
      <c r="B46" s="12"/>
      <c r="C46" s="16"/>
      <c r="D46" s="22">
        <f>D38+D44</f>
        <v>1562287</v>
      </c>
    </row>
    <row r="47" spans="1:4" ht="16.5" thickTop="1">
      <c r="A47" s="10"/>
      <c r="B47" s="6"/>
      <c r="C47" s="7"/>
      <c r="D47" s="11"/>
    </row>
  </sheetData>
  <sheetProtection/>
  <mergeCells count="6">
    <mergeCell ref="B3:D3"/>
    <mergeCell ref="B5:D5"/>
    <mergeCell ref="B6:D6"/>
    <mergeCell ref="B26:D26"/>
    <mergeCell ref="B27:D27"/>
    <mergeCell ref="A3:A6"/>
  </mergeCells>
  <conditionalFormatting sqref="A31:D46 A10:D22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81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W17" sqref="W17"/>
    </sheetView>
  </sheetViews>
  <sheetFormatPr defaultColWidth="9.140625" defaultRowHeight="15"/>
  <cols>
    <col min="1" max="1" width="29.8515625" style="5" bestFit="1" customWidth="1"/>
    <col min="2" max="2" width="1.7109375" style="4" customWidth="1"/>
    <col min="3" max="3" width="15.140625" style="4" bestFit="1" customWidth="1"/>
    <col min="4" max="4" width="1.7109375" style="4" customWidth="1"/>
    <col min="5" max="5" width="14.00390625" style="4" bestFit="1" customWidth="1"/>
    <col min="6" max="6" width="1.7109375" style="4" customWidth="1"/>
    <col min="7" max="7" width="13.28125" style="4" bestFit="1" customWidth="1"/>
    <col min="8" max="8" width="1.7109375" style="4" customWidth="1"/>
    <col min="9" max="9" width="14.140625" style="4" bestFit="1" customWidth="1"/>
    <col min="10" max="10" width="1.7109375" style="4" customWidth="1"/>
    <col min="11" max="11" width="14.140625" style="4" bestFit="1" customWidth="1"/>
    <col min="12" max="12" width="1.7109375" style="4" customWidth="1"/>
    <col min="13" max="13" width="14.421875" style="4" bestFit="1" customWidth="1"/>
    <col min="14" max="14" width="1.7109375" style="4" customWidth="1"/>
    <col min="15" max="15" width="12.57421875" style="4" bestFit="1" customWidth="1"/>
    <col min="16" max="16" width="1.7109375" style="4" customWidth="1"/>
    <col min="17" max="17" width="14.8515625" style="4" bestFit="1" customWidth="1"/>
    <col min="18" max="18" width="1.7109375" style="4" customWidth="1"/>
    <col min="19" max="19" width="14.140625" style="4" bestFit="1" customWidth="1"/>
    <col min="20" max="16384" width="9.140625" style="4" customWidth="1"/>
  </cols>
  <sheetData>
    <row r="3" spans="1:19" ht="16.5">
      <c r="A3" s="41"/>
      <c r="C3" s="37" t="s">
        <v>33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9" customHeight="1">
      <c r="A4" s="41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</row>
    <row r="5" spans="1:19" ht="15.75">
      <c r="A5" s="41"/>
      <c r="C5" s="38" t="s">
        <v>100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15.75">
      <c r="A6" s="41"/>
      <c r="C6" s="38" t="s">
        <v>104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2:19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2:19" s="10" customFormat="1" ht="15.75">
      <c r="B9" s="25"/>
      <c r="C9" s="35"/>
      <c r="D9" s="25"/>
      <c r="E9" s="40" t="s">
        <v>31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25"/>
      <c r="S9" s="28" t="s">
        <v>29</v>
      </c>
    </row>
    <row r="10" spans="2:19" s="29" customFormat="1" ht="15.75">
      <c r="B10" s="28"/>
      <c r="C10" s="28"/>
      <c r="D10" s="28"/>
      <c r="E10" s="28" t="s">
        <v>106</v>
      </c>
      <c r="F10" s="28"/>
      <c r="G10" s="28" t="s">
        <v>22</v>
      </c>
      <c r="H10" s="28"/>
      <c r="I10" s="28" t="s">
        <v>24</v>
      </c>
      <c r="J10" s="28"/>
      <c r="K10" s="28" t="s">
        <v>26</v>
      </c>
      <c r="L10" s="28"/>
      <c r="M10" s="28"/>
      <c r="N10" s="28"/>
      <c r="O10" s="28"/>
      <c r="P10" s="28"/>
      <c r="Q10" s="28"/>
      <c r="R10" s="28"/>
      <c r="S10" s="28" t="s">
        <v>30</v>
      </c>
    </row>
    <row r="11" spans="2:19" s="29" customFormat="1" ht="15.75">
      <c r="B11" s="28"/>
      <c r="C11" s="32" t="s">
        <v>29</v>
      </c>
      <c r="D11" s="28"/>
      <c r="E11" s="32" t="s">
        <v>21</v>
      </c>
      <c r="F11" s="28"/>
      <c r="G11" s="32" t="s">
        <v>23</v>
      </c>
      <c r="H11" s="28"/>
      <c r="I11" s="32" t="s">
        <v>25</v>
      </c>
      <c r="J11" s="28"/>
      <c r="K11" s="32" t="s">
        <v>27</v>
      </c>
      <c r="L11" s="28"/>
      <c r="M11" s="32" t="s">
        <v>34</v>
      </c>
      <c r="N11" s="28"/>
      <c r="O11" s="32" t="s">
        <v>28</v>
      </c>
      <c r="P11" s="28"/>
      <c r="Q11" s="32" t="s">
        <v>18</v>
      </c>
      <c r="R11" s="28"/>
      <c r="S11" s="32" t="s">
        <v>31</v>
      </c>
    </row>
    <row r="12" spans="1:19" ht="15.75">
      <c r="A12" s="12" t="s">
        <v>50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</row>
    <row r="13" spans="1:19" ht="15.75">
      <c r="A13" s="12" t="s">
        <v>35</v>
      </c>
      <c r="B13" s="12"/>
      <c r="C13" s="30">
        <f>3039197-1918072-C25</f>
        <v>621125</v>
      </c>
      <c r="D13" s="20"/>
      <c r="E13" s="30">
        <v>3339025</v>
      </c>
      <c r="F13" s="20"/>
      <c r="G13" s="30">
        <v>1282097</v>
      </c>
      <c r="H13" s="20"/>
      <c r="I13" s="30">
        <v>6351856</v>
      </c>
      <c r="J13" s="20"/>
      <c r="K13" s="30">
        <v>665</v>
      </c>
      <c r="L13" s="20"/>
      <c r="M13" s="30">
        <v>93787</v>
      </c>
      <c r="N13" s="20"/>
      <c r="O13" s="30">
        <v>73460</v>
      </c>
      <c r="P13" s="20"/>
      <c r="Q13" s="30">
        <f aca="true" t="shared" si="0" ref="Q13:Q22">SUM(E13:O13)</f>
        <v>11140890</v>
      </c>
      <c r="R13" s="20"/>
      <c r="S13" s="30">
        <f aca="true" t="shared" si="1" ref="S13:S29">C13-Q13</f>
        <v>-10519765</v>
      </c>
    </row>
    <row r="14" spans="1:19" ht="15.75">
      <c r="A14" s="12" t="s">
        <v>32</v>
      </c>
      <c r="B14" s="12"/>
      <c r="C14" s="27">
        <v>0</v>
      </c>
      <c r="D14" s="13"/>
      <c r="E14" s="27">
        <v>0</v>
      </c>
      <c r="F14" s="13"/>
      <c r="G14" s="27">
        <v>0</v>
      </c>
      <c r="H14" s="13"/>
      <c r="I14" s="27">
        <v>0</v>
      </c>
      <c r="J14" s="13"/>
      <c r="K14" s="27">
        <v>4749421</v>
      </c>
      <c r="L14" s="13"/>
      <c r="M14" s="27">
        <v>0</v>
      </c>
      <c r="N14" s="13"/>
      <c r="O14" s="27">
        <v>0</v>
      </c>
      <c r="P14" s="13"/>
      <c r="Q14" s="27">
        <f t="shared" si="0"/>
        <v>4749421</v>
      </c>
      <c r="R14" s="13"/>
      <c r="S14" s="12">
        <f t="shared" si="1"/>
        <v>-4749421</v>
      </c>
    </row>
    <row r="15" spans="1:19" ht="15.75">
      <c r="A15" s="12" t="s">
        <v>36</v>
      </c>
      <c r="B15" s="12"/>
      <c r="C15" s="27">
        <v>1014</v>
      </c>
      <c r="D15" s="31"/>
      <c r="E15" s="27">
        <v>1130860</v>
      </c>
      <c r="F15" s="31"/>
      <c r="G15" s="27">
        <v>160155</v>
      </c>
      <c r="H15" s="31"/>
      <c r="I15" s="27">
        <v>2671791</v>
      </c>
      <c r="J15" s="31"/>
      <c r="K15" s="27">
        <v>0</v>
      </c>
      <c r="L15" s="31"/>
      <c r="M15" s="27">
        <v>0</v>
      </c>
      <c r="N15" s="31"/>
      <c r="O15" s="27">
        <v>9255</v>
      </c>
      <c r="P15" s="31"/>
      <c r="Q15" s="27">
        <f t="shared" si="0"/>
        <v>3972061</v>
      </c>
      <c r="R15" s="31"/>
      <c r="S15" s="27">
        <f t="shared" si="1"/>
        <v>-3971047</v>
      </c>
    </row>
    <row r="16" spans="1:19" ht="15.75">
      <c r="A16" s="12" t="s">
        <v>37</v>
      </c>
      <c r="B16" s="12"/>
      <c r="C16" s="27">
        <v>351623</v>
      </c>
      <c r="D16" s="31"/>
      <c r="E16" s="27">
        <v>2205189</v>
      </c>
      <c r="F16" s="31"/>
      <c r="G16" s="27">
        <v>728384</v>
      </c>
      <c r="H16" s="31"/>
      <c r="I16" s="27">
        <v>18556064</v>
      </c>
      <c r="J16" s="31"/>
      <c r="K16" s="27">
        <v>2689534</v>
      </c>
      <c r="L16" s="31"/>
      <c r="M16" s="27">
        <v>0</v>
      </c>
      <c r="N16" s="31"/>
      <c r="O16" s="27">
        <v>138210</v>
      </c>
      <c r="P16" s="31"/>
      <c r="Q16" s="27">
        <f t="shared" si="0"/>
        <v>24317381</v>
      </c>
      <c r="R16" s="31"/>
      <c r="S16" s="27">
        <f t="shared" si="1"/>
        <v>-23965758</v>
      </c>
    </row>
    <row r="17" spans="1:19" ht="15.75">
      <c r="A17" s="12" t="s">
        <v>38</v>
      </c>
      <c r="B17" s="12"/>
      <c r="C17" s="27">
        <v>0</v>
      </c>
      <c r="D17" s="31"/>
      <c r="E17" s="27">
        <v>0</v>
      </c>
      <c r="F17" s="31"/>
      <c r="G17" s="27">
        <v>0</v>
      </c>
      <c r="H17" s="31"/>
      <c r="I17" s="27">
        <v>2107122</v>
      </c>
      <c r="J17" s="31"/>
      <c r="K17" s="27">
        <v>0</v>
      </c>
      <c r="L17" s="31"/>
      <c r="M17" s="27">
        <v>0</v>
      </c>
      <c r="N17" s="31"/>
      <c r="O17" s="27">
        <v>0</v>
      </c>
      <c r="P17" s="31"/>
      <c r="Q17" s="27">
        <f t="shared" si="0"/>
        <v>2107122</v>
      </c>
      <c r="R17" s="31"/>
      <c r="S17" s="27">
        <f t="shared" si="1"/>
        <v>-2107122</v>
      </c>
    </row>
    <row r="18" spans="1:19" ht="15.75">
      <c r="A18" s="12" t="s">
        <v>39</v>
      </c>
      <c r="B18" s="12"/>
      <c r="C18" s="27">
        <v>325502</v>
      </c>
      <c r="D18" s="31"/>
      <c r="E18" s="27">
        <v>0</v>
      </c>
      <c r="F18" s="31"/>
      <c r="G18" s="27">
        <v>0</v>
      </c>
      <c r="H18" s="31"/>
      <c r="I18" s="27">
        <v>0</v>
      </c>
      <c r="J18" s="31"/>
      <c r="K18" s="27">
        <v>0</v>
      </c>
      <c r="L18" s="31"/>
      <c r="M18" s="27">
        <v>0</v>
      </c>
      <c r="N18" s="31"/>
      <c r="O18" s="27">
        <v>0</v>
      </c>
      <c r="P18" s="31"/>
      <c r="Q18" s="27">
        <f t="shared" si="0"/>
        <v>0</v>
      </c>
      <c r="R18" s="31"/>
      <c r="S18" s="27">
        <f t="shared" si="1"/>
        <v>325502</v>
      </c>
    </row>
    <row r="19" spans="1:19" ht="15.75">
      <c r="A19" s="12" t="s">
        <v>40</v>
      </c>
      <c r="B19" s="12"/>
      <c r="C19" s="27">
        <v>581638</v>
      </c>
      <c r="D19" s="31"/>
      <c r="E19" s="27">
        <v>0</v>
      </c>
      <c r="F19" s="31"/>
      <c r="G19" s="27">
        <v>0</v>
      </c>
      <c r="H19" s="31"/>
      <c r="I19" s="27">
        <v>0</v>
      </c>
      <c r="J19" s="31"/>
      <c r="K19" s="27">
        <v>0</v>
      </c>
      <c r="L19" s="31"/>
      <c r="M19" s="27">
        <v>0</v>
      </c>
      <c r="N19" s="31"/>
      <c r="O19" s="27">
        <v>0</v>
      </c>
      <c r="P19" s="31"/>
      <c r="Q19" s="27">
        <f t="shared" si="0"/>
        <v>0</v>
      </c>
      <c r="R19" s="31"/>
      <c r="S19" s="27">
        <f t="shared" si="1"/>
        <v>581638</v>
      </c>
    </row>
    <row r="20" spans="1:19" ht="15.75">
      <c r="A20" s="12" t="s">
        <v>41</v>
      </c>
      <c r="B20" s="12"/>
      <c r="C20" s="27">
        <v>3299132</v>
      </c>
      <c r="D20" s="31"/>
      <c r="E20" s="27">
        <v>131831</v>
      </c>
      <c r="F20" s="31"/>
      <c r="G20" s="27">
        <v>52946</v>
      </c>
      <c r="H20" s="31"/>
      <c r="I20" s="27">
        <v>774569</v>
      </c>
      <c r="J20" s="31"/>
      <c r="K20" s="27">
        <v>0</v>
      </c>
      <c r="L20" s="31"/>
      <c r="M20" s="27">
        <v>115184</v>
      </c>
      <c r="N20" s="31"/>
      <c r="O20" s="27">
        <v>10978</v>
      </c>
      <c r="P20" s="31"/>
      <c r="Q20" s="27">
        <f t="shared" si="0"/>
        <v>1085508</v>
      </c>
      <c r="R20" s="31"/>
      <c r="S20" s="27">
        <f t="shared" si="1"/>
        <v>2213624</v>
      </c>
    </row>
    <row r="21" spans="1:19" ht="15.75">
      <c r="A21" s="12" t="s">
        <v>42</v>
      </c>
      <c r="B21" s="12"/>
      <c r="C21" s="27">
        <v>0</v>
      </c>
      <c r="D21" s="31"/>
      <c r="E21" s="27">
        <v>0</v>
      </c>
      <c r="F21" s="31"/>
      <c r="G21" s="27">
        <v>0</v>
      </c>
      <c r="H21" s="31"/>
      <c r="I21" s="27">
        <v>1033</v>
      </c>
      <c r="J21" s="31"/>
      <c r="K21" s="27">
        <v>0</v>
      </c>
      <c r="L21" s="31"/>
      <c r="M21" s="27">
        <v>0</v>
      </c>
      <c r="N21" s="31"/>
      <c r="O21" s="27">
        <v>0</v>
      </c>
      <c r="P21" s="31"/>
      <c r="Q21" s="27">
        <f t="shared" si="0"/>
        <v>1033</v>
      </c>
      <c r="R21" s="31"/>
      <c r="S21" s="27">
        <f t="shared" si="1"/>
        <v>-1033</v>
      </c>
    </row>
    <row r="22" spans="1:19" ht="15.75">
      <c r="A22" s="12" t="s">
        <v>43</v>
      </c>
      <c r="B22" s="12"/>
      <c r="C22" s="27">
        <f>Related!Q16</f>
        <v>26038192</v>
      </c>
      <c r="D22" s="31"/>
      <c r="E22" s="27">
        <v>0</v>
      </c>
      <c r="F22" s="31"/>
      <c r="G22" s="27">
        <v>0</v>
      </c>
      <c r="H22" s="31"/>
      <c r="I22" s="27">
        <v>0</v>
      </c>
      <c r="J22" s="31"/>
      <c r="K22" s="27">
        <v>0</v>
      </c>
      <c r="L22" s="31"/>
      <c r="M22" s="27">
        <v>0</v>
      </c>
      <c r="N22" s="31"/>
      <c r="O22" s="27">
        <v>0</v>
      </c>
      <c r="P22" s="31"/>
      <c r="Q22" s="27">
        <f t="shared" si="0"/>
        <v>0</v>
      </c>
      <c r="R22" s="31"/>
      <c r="S22" s="27">
        <f t="shared" si="1"/>
        <v>26038192</v>
      </c>
    </row>
    <row r="23" spans="1:19" ht="15.75">
      <c r="A23" s="12" t="s">
        <v>96</v>
      </c>
      <c r="B23" s="12"/>
      <c r="C23" s="27">
        <v>26196959</v>
      </c>
      <c r="D23" s="31"/>
      <c r="E23" s="27">
        <v>0</v>
      </c>
      <c r="F23" s="31"/>
      <c r="G23" s="27">
        <v>0</v>
      </c>
      <c r="H23" s="31"/>
      <c r="I23" s="27">
        <v>0</v>
      </c>
      <c r="J23" s="31"/>
      <c r="K23" s="27">
        <v>0</v>
      </c>
      <c r="L23" s="31"/>
      <c r="M23" s="27">
        <v>0</v>
      </c>
      <c r="N23" s="31"/>
      <c r="O23" s="27">
        <v>0</v>
      </c>
      <c r="P23" s="31"/>
      <c r="Q23" s="27">
        <f aca="true" t="shared" si="2" ref="Q23:Q29">SUM(E23:O23)</f>
        <v>0</v>
      </c>
      <c r="R23" s="31"/>
      <c r="S23" s="27">
        <f t="shared" si="1"/>
        <v>26196959</v>
      </c>
    </row>
    <row r="24" spans="1:19" ht="15.75">
      <c r="A24" s="12" t="s">
        <v>44</v>
      </c>
      <c r="B24" s="12"/>
      <c r="C24" s="27">
        <v>0</v>
      </c>
      <c r="D24" s="31"/>
      <c r="E24" s="27">
        <v>635063</v>
      </c>
      <c r="F24" s="31"/>
      <c r="G24" s="27">
        <v>230142</v>
      </c>
      <c r="H24" s="31"/>
      <c r="I24" s="27">
        <v>252812</v>
      </c>
      <c r="J24" s="31"/>
      <c r="K24" s="27">
        <v>0</v>
      </c>
      <c r="L24" s="31"/>
      <c r="M24" s="27">
        <v>0</v>
      </c>
      <c r="N24" s="31"/>
      <c r="O24" s="27">
        <v>1728</v>
      </c>
      <c r="P24" s="31"/>
      <c r="Q24" s="27">
        <f t="shared" si="2"/>
        <v>1119745</v>
      </c>
      <c r="R24" s="31"/>
      <c r="S24" s="27">
        <f t="shared" si="1"/>
        <v>-1119745</v>
      </c>
    </row>
    <row r="25" spans="1:19" ht="15.75">
      <c r="A25" s="12" t="s">
        <v>102</v>
      </c>
      <c r="B25" s="12"/>
      <c r="C25" s="27">
        <v>500000</v>
      </c>
      <c r="D25" s="31"/>
      <c r="E25" s="27">
        <v>0</v>
      </c>
      <c r="F25" s="31"/>
      <c r="G25" s="27">
        <v>0</v>
      </c>
      <c r="H25" s="31"/>
      <c r="I25" s="27">
        <v>0</v>
      </c>
      <c r="J25" s="31"/>
      <c r="K25" s="27">
        <v>0</v>
      </c>
      <c r="L25" s="31"/>
      <c r="M25" s="27">
        <v>0</v>
      </c>
      <c r="N25" s="31"/>
      <c r="O25" s="27">
        <v>0</v>
      </c>
      <c r="P25" s="31"/>
      <c r="Q25" s="27">
        <f t="shared" si="2"/>
        <v>0</v>
      </c>
      <c r="R25" s="31"/>
      <c r="S25" s="27">
        <f t="shared" si="1"/>
        <v>500000</v>
      </c>
    </row>
    <row r="26" spans="1:19" ht="15.75">
      <c r="A26" s="12" t="s">
        <v>111</v>
      </c>
      <c r="B26" s="12"/>
      <c r="C26" s="27">
        <v>0</v>
      </c>
      <c r="D26" s="31"/>
      <c r="E26" s="27">
        <v>116686</v>
      </c>
      <c r="F26" s="31"/>
      <c r="G26" s="27">
        <v>48454</v>
      </c>
      <c r="H26" s="31"/>
      <c r="I26" s="27">
        <v>885207</v>
      </c>
      <c r="J26" s="31"/>
      <c r="K26" s="27">
        <v>0</v>
      </c>
      <c r="L26" s="31"/>
      <c r="M26" s="27">
        <v>0</v>
      </c>
      <c r="N26" s="31"/>
      <c r="O26" s="27">
        <v>0</v>
      </c>
      <c r="P26" s="31"/>
      <c r="Q26" s="27">
        <f t="shared" si="2"/>
        <v>1050347</v>
      </c>
      <c r="R26" s="31"/>
      <c r="S26" s="27">
        <f t="shared" si="1"/>
        <v>-1050347</v>
      </c>
    </row>
    <row r="27" spans="1:19" ht="15.75">
      <c r="A27" s="12" t="s">
        <v>45</v>
      </c>
      <c r="B27" s="12"/>
      <c r="C27" s="27">
        <v>1249804</v>
      </c>
      <c r="D27" s="31"/>
      <c r="E27" s="27">
        <v>478541</v>
      </c>
      <c r="F27" s="31"/>
      <c r="G27" s="27">
        <v>156695</v>
      </c>
      <c r="H27" s="31"/>
      <c r="I27" s="27">
        <v>2193558</v>
      </c>
      <c r="J27" s="31"/>
      <c r="K27" s="27">
        <v>0</v>
      </c>
      <c r="L27" s="31"/>
      <c r="M27" s="27">
        <v>0</v>
      </c>
      <c r="N27" s="31"/>
      <c r="O27" s="27">
        <v>37843</v>
      </c>
      <c r="P27" s="31"/>
      <c r="Q27" s="27">
        <f t="shared" si="2"/>
        <v>2866637</v>
      </c>
      <c r="R27" s="31"/>
      <c r="S27" s="27">
        <f t="shared" si="1"/>
        <v>-1616833</v>
      </c>
    </row>
    <row r="28" spans="1:19" ht="15.75">
      <c r="A28" s="12" t="s">
        <v>46</v>
      </c>
      <c r="B28" s="12"/>
      <c r="C28" s="27">
        <f>24003494</f>
        <v>24003494</v>
      </c>
      <c r="D28" s="31"/>
      <c r="E28" s="27">
        <v>0</v>
      </c>
      <c r="F28" s="31"/>
      <c r="G28" s="27">
        <v>0</v>
      </c>
      <c r="H28" s="31"/>
      <c r="I28" s="27">
        <v>0</v>
      </c>
      <c r="J28" s="31"/>
      <c r="K28" s="27">
        <v>0</v>
      </c>
      <c r="L28" s="31"/>
      <c r="M28" s="27">
        <v>0</v>
      </c>
      <c r="N28" s="31"/>
      <c r="O28" s="27">
        <v>0</v>
      </c>
      <c r="P28" s="31"/>
      <c r="Q28" s="27">
        <f t="shared" si="2"/>
        <v>0</v>
      </c>
      <c r="R28" s="31"/>
      <c r="S28" s="27">
        <f t="shared" si="1"/>
        <v>24003494</v>
      </c>
    </row>
    <row r="29" spans="1:19" ht="15.75">
      <c r="A29" s="12" t="s">
        <v>47</v>
      </c>
      <c r="B29" s="12"/>
      <c r="C29" s="27">
        <v>0</v>
      </c>
      <c r="D29" s="14"/>
      <c r="E29" s="27">
        <v>219852</v>
      </c>
      <c r="F29" s="14"/>
      <c r="G29" s="27">
        <v>90412</v>
      </c>
      <c r="H29" s="14"/>
      <c r="I29" s="27">
        <v>278214</v>
      </c>
      <c r="J29" s="14"/>
      <c r="K29" s="27">
        <v>0</v>
      </c>
      <c r="L29" s="14"/>
      <c r="M29" s="27">
        <v>0</v>
      </c>
      <c r="N29" s="14"/>
      <c r="O29" s="27">
        <v>55722</v>
      </c>
      <c r="P29" s="14"/>
      <c r="Q29" s="27">
        <f t="shared" si="2"/>
        <v>644200</v>
      </c>
      <c r="R29" s="14"/>
      <c r="S29" s="27">
        <f t="shared" si="1"/>
        <v>-644200</v>
      </c>
    </row>
    <row r="30" spans="1:19" ht="15.75">
      <c r="A30" s="12" t="s">
        <v>48</v>
      </c>
      <c r="B30" s="12"/>
      <c r="C30" s="17">
        <f>SUM(C13:C29)</f>
        <v>83168483</v>
      </c>
      <c r="D30" s="16"/>
      <c r="E30" s="17">
        <f>SUM(E13:E29)</f>
        <v>8257047</v>
      </c>
      <c r="F30" s="16"/>
      <c r="G30" s="17">
        <f>SUM(G13:G29)</f>
        <v>2749285</v>
      </c>
      <c r="H30" s="16"/>
      <c r="I30" s="17">
        <f>SUM(I13:I29)</f>
        <v>34072226</v>
      </c>
      <c r="J30" s="16"/>
      <c r="K30" s="17">
        <f>SUM(K13:K29)</f>
        <v>7439620</v>
      </c>
      <c r="L30" s="16"/>
      <c r="M30" s="17">
        <f>SUM(M13:M29)</f>
        <v>208971</v>
      </c>
      <c r="N30" s="16"/>
      <c r="O30" s="17">
        <f>SUM(O13:O29)</f>
        <v>327196</v>
      </c>
      <c r="P30" s="16"/>
      <c r="Q30" s="17">
        <f>SUM(Q13:Q29)</f>
        <v>53054345</v>
      </c>
      <c r="R30" s="16"/>
      <c r="S30" s="17">
        <f>SUM(S13:S29)</f>
        <v>30114138</v>
      </c>
    </row>
    <row r="31" spans="1:19" ht="15.75">
      <c r="A31" s="12"/>
      <c r="B31" s="12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5.75">
      <c r="A32" s="12" t="s">
        <v>49</v>
      </c>
      <c r="B32" s="12"/>
      <c r="C32" s="18"/>
      <c r="D32" s="16"/>
      <c r="E32" s="18"/>
      <c r="F32" s="16"/>
      <c r="G32" s="18"/>
      <c r="H32" s="16"/>
      <c r="I32" s="18"/>
      <c r="J32" s="16"/>
      <c r="K32" s="18"/>
      <c r="L32" s="16"/>
      <c r="M32" s="18"/>
      <c r="N32" s="16"/>
      <c r="O32" s="18"/>
      <c r="P32" s="16"/>
      <c r="Q32" s="27"/>
      <c r="R32" s="16"/>
      <c r="S32" s="27"/>
    </row>
    <row r="33" spans="1:19" ht="15.75">
      <c r="A33" s="12" t="s">
        <v>51</v>
      </c>
      <c r="B33" s="12"/>
      <c r="C33" s="18">
        <f>83503680-C62-21491742-18716465</f>
        <v>41781893</v>
      </c>
      <c r="D33" s="16"/>
      <c r="E33" s="18">
        <f>8373960-E62</f>
        <v>8108960</v>
      </c>
      <c r="F33" s="16"/>
      <c r="G33" s="18">
        <f>2637446-G62</f>
        <v>2523496</v>
      </c>
      <c r="H33" s="16"/>
      <c r="I33" s="18">
        <f>11550329-I62</f>
        <v>10447878</v>
      </c>
      <c r="J33" s="16"/>
      <c r="K33" s="18">
        <f>151-K62</f>
        <v>0</v>
      </c>
      <c r="L33" s="16"/>
      <c r="M33" s="18">
        <v>4262986</v>
      </c>
      <c r="N33" s="16"/>
      <c r="O33" s="18">
        <f>21084-1</f>
        <v>21083</v>
      </c>
      <c r="P33" s="16"/>
      <c r="Q33" s="27">
        <f aca="true" t="shared" si="3" ref="Q33:Q47">SUM(E33:O33)</f>
        <v>25364403</v>
      </c>
      <c r="R33" s="16"/>
      <c r="S33" s="27">
        <f aca="true" t="shared" si="4" ref="S33:S47">C33-Q33</f>
        <v>16417490</v>
      </c>
    </row>
    <row r="34" spans="1:19" ht="15.75">
      <c r="A34" s="12" t="s">
        <v>53</v>
      </c>
      <c r="B34" s="12"/>
      <c r="C34" s="18">
        <f>7771773-C63-623492-5562422</f>
        <v>1586579</v>
      </c>
      <c r="D34" s="16"/>
      <c r="E34" s="18">
        <v>2802059</v>
      </c>
      <c r="F34" s="16"/>
      <c r="G34" s="18">
        <v>619878</v>
      </c>
      <c r="H34" s="16"/>
      <c r="I34" s="18">
        <f>1991717-I63</f>
        <v>1918089</v>
      </c>
      <c r="J34" s="16"/>
      <c r="K34" s="18">
        <v>0</v>
      </c>
      <c r="L34" s="16"/>
      <c r="M34" s="18">
        <v>731605</v>
      </c>
      <c r="N34" s="16"/>
      <c r="O34" s="18">
        <v>7150</v>
      </c>
      <c r="P34" s="16"/>
      <c r="Q34" s="27">
        <f t="shared" si="3"/>
        <v>6078781</v>
      </c>
      <c r="R34" s="16"/>
      <c r="S34" s="27">
        <f t="shared" si="4"/>
        <v>-4492202</v>
      </c>
    </row>
    <row r="35" spans="1:19" ht="15.75">
      <c r="A35" s="12" t="s">
        <v>52</v>
      </c>
      <c r="B35" s="12"/>
      <c r="C35" s="18">
        <f>197171-C64</f>
        <v>145511</v>
      </c>
      <c r="D35" s="16"/>
      <c r="E35" s="18">
        <v>1433581</v>
      </c>
      <c r="F35" s="16"/>
      <c r="G35" s="18">
        <v>439897</v>
      </c>
      <c r="H35" s="16"/>
      <c r="I35" s="18">
        <f>1484688-I64</f>
        <v>1340376</v>
      </c>
      <c r="J35" s="16"/>
      <c r="K35" s="18">
        <v>0</v>
      </c>
      <c r="L35" s="16"/>
      <c r="M35" s="18">
        <v>833657</v>
      </c>
      <c r="N35" s="16"/>
      <c r="O35" s="18">
        <v>4830</v>
      </c>
      <c r="P35" s="16"/>
      <c r="Q35" s="27">
        <f t="shared" si="3"/>
        <v>4052341</v>
      </c>
      <c r="R35" s="16"/>
      <c r="S35" s="27">
        <f t="shared" si="4"/>
        <v>-3906830</v>
      </c>
    </row>
    <row r="36" spans="1:19" ht="15.75">
      <c r="A36" s="12" t="s">
        <v>54</v>
      </c>
      <c r="B36" s="12"/>
      <c r="C36" s="18">
        <f>5945082-C65-1859060</f>
        <v>3250571</v>
      </c>
      <c r="D36" s="16"/>
      <c r="E36" s="18">
        <f>2503463-E65</f>
        <v>2501200</v>
      </c>
      <c r="F36" s="16"/>
      <c r="G36" s="18">
        <f>562978-G65</f>
        <v>562075</v>
      </c>
      <c r="H36" s="16"/>
      <c r="I36" s="18">
        <f>1408129-I65</f>
        <v>972117</v>
      </c>
      <c r="J36" s="16"/>
      <c r="K36" s="18">
        <v>0</v>
      </c>
      <c r="L36" s="16"/>
      <c r="M36" s="18">
        <v>619488</v>
      </c>
      <c r="N36" s="16"/>
      <c r="O36" s="18">
        <v>6879</v>
      </c>
      <c r="P36" s="16"/>
      <c r="Q36" s="27">
        <f t="shared" si="3"/>
        <v>4661759</v>
      </c>
      <c r="R36" s="16"/>
      <c r="S36" s="27">
        <f t="shared" si="4"/>
        <v>-1411188</v>
      </c>
    </row>
    <row r="37" spans="1:19" ht="15.75">
      <c r="A37" s="12" t="s">
        <v>55</v>
      </c>
      <c r="B37" s="12"/>
      <c r="C37" s="18">
        <f>290364-C66-29200</f>
        <v>162547</v>
      </c>
      <c r="D37" s="16"/>
      <c r="E37" s="18">
        <f>539714-E66</f>
        <v>537214</v>
      </c>
      <c r="F37" s="16"/>
      <c r="G37" s="18">
        <f>211808-G66</f>
        <v>211652</v>
      </c>
      <c r="H37" s="16"/>
      <c r="I37" s="18">
        <f>897176-I66</f>
        <v>624042</v>
      </c>
      <c r="J37" s="16"/>
      <c r="K37" s="18">
        <v>0</v>
      </c>
      <c r="L37" s="16"/>
      <c r="M37" s="18">
        <v>747165</v>
      </c>
      <c r="N37" s="16"/>
      <c r="O37" s="18">
        <f>6803</f>
        <v>6803</v>
      </c>
      <c r="P37" s="16"/>
      <c r="Q37" s="27">
        <f t="shared" si="3"/>
        <v>2126876</v>
      </c>
      <c r="R37" s="16"/>
      <c r="S37" s="27">
        <f t="shared" si="4"/>
        <v>-1964329</v>
      </c>
    </row>
    <row r="38" spans="1:19" ht="15.75">
      <c r="A38" s="12" t="s">
        <v>56</v>
      </c>
      <c r="B38" s="12"/>
      <c r="C38" s="18">
        <f>6600-C67</f>
        <v>0</v>
      </c>
      <c r="D38" s="16"/>
      <c r="E38" s="18">
        <v>372242</v>
      </c>
      <c r="F38" s="16"/>
      <c r="G38" s="18">
        <v>147164</v>
      </c>
      <c r="H38" s="16"/>
      <c r="I38" s="18">
        <f>307564-I67</f>
        <v>187992</v>
      </c>
      <c r="J38" s="16"/>
      <c r="K38" s="18">
        <v>0</v>
      </c>
      <c r="L38" s="16"/>
      <c r="M38" s="18">
        <v>152421</v>
      </c>
      <c r="N38" s="16"/>
      <c r="O38" s="18">
        <v>982</v>
      </c>
      <c r="P38" s="16"/>
      <c r="Q38" s="27">
        <f t="shared" si="3"/>
        <v>860801</v>
      </c>
      <c r="R38" s="16"/>
      <c r="S38" s="27">
        <f t="shared" si="4"/>
        <v>-860801</v>
      </c>
    </row>
    <row r="39" spans="1:19" ht="15.75">
      <c r="A39" s="12" t="s">
        <v>57</v>
      </c>
      <c r="B39" s="12"/>
      <c r="C39" s="18">
        <v>0</v>
      </c>
      <c r="D39" s="16"/>
      <c r="E39" s="18">
        <v>221142</v>
      </c>
      <c r="F39" s="16"/>
      <c r="G39" s="18">
        <v>90791</v>
      </c>
      <c r="H39" s="16"/>
      <c r="I39" s="18">
        <f>160960-I68</f>
        <v>145340</v>
      </c>
      <c r="J39" s="16"/>
      <c r="K39" s="18">
        <v>0</v>
      </c>
      <c r="L39" s="16"/>
      <c r="M39" s="18">
        <f>283292-1</f>
        <v>283291</v>
      </c>
      <c r="N39" s="16"/>
      <c r="O39" s="18">
        <v>0</v>
      </c>
      <c r="P39" s="16"/>
      <c r="Q39" s="27">
        <f t="shared" si="3"/>
        <v>740564</v>
      </c>
      <c r="R39" s="16"/>
      <c r="S39" s="27">
        <f t="shared" si="4"/>
        <v>-740564</v>
      </c>
    </row>
    <row r="40" spans="1:19" ht="15.75">
      <c r="A40" s="12" t="s">
        <v>58</v>
      </c>
      <c r="B40" s="12"/>
      <c r="C40" s="18">
        <f>254440-C69</f>
        <v>242567</v>
      </c>
      <c r="D40" s="16"/>
      <c r="E40" s="18">
        <v>742014</v>
      </c>
      <c r="F40" s="16"/>
      <c r="G40" s="18">
        <v>281690</v>
      </c>
      <c r="H40" s="16"/>
      <c r="I40" s="18">
        <f>668403-I69</f>
        <v>461691</v>
      </c>
      <c r="J40" s="16"/>
      <c r="K40" s="18">
        <v>0</v>
      </c>
      <c r="L40" s="16"/>
      <c r="M40" s="18">
        <v>762311</v>
      </c>
      <c r="N40" s="16"/>
      <c r="O40" s="18">
        <v>8744</v>
      </c>
      <c r="P40" s="16"/>
      <c r="Q40" s="27">
        <f t="shared" si="3"/>
        <v>2256450</v>
      </c>
      <c r="R40" s="16"/>
      <c r="S40" s="27">
        <f t="shared" si="4"/>
        <v>-2013883</v>
      </c>
    </row>
    <row r="41" spans="1:19" ht="15.75">
      <c r="A41" s="12" t="s">
        <v>59</v>
      </c>
      <c r="B41" s="12"/>
      <c r="C41" s="18">
        <v>0</v>
      </c>
      <c r="D41" s="16"/>
      <c r="E41" s="18">
        <v>300786</v>
      </c>
      <c r="F41" s="16"/>
      <c r="G41" s="18">
        <v>121547</v>
      </c>
      <c r="H41" s="16"/>
      <c r="I41" s="18">
        <f>549967-I70</f>
        <v>549922</v>
      </c>
      <c r="J41" s="16"/>
      <c r="K41" s="18">
        <v>0</v>
      </c>
      <c r="L41" s="16"/>
      <c r="M41" s="18">
        <v>838321</v>
      </c>
      <c r="N41" s="16"/>
      <c r="O41" s="18">
        <v>1538</v>
      </c>
      <c r="P41" s="16"/>
      <c r="Q41" s="27">
        <f t="shared" si="3"/>
        <v>1812114</v>
      </c>
      <c r="R41" s="16"/>
      <c r="S41" s="27">
        <f t="shared" si="4"/>
        <v>-1812114</v>
      </c>
    </row>
    <row r="42" spans="1:19" ht="15.75">
      <c r="A42" s="12" t="s">
        <v>60</v>
      </c>
      <c r="B42" s="12"/>
      <c r="C42" s="18">
        <f>7800-C71</f>
        <v>0</v>
      </c>
      <c r="D42" s="16"/>
      <c r="E42" s="18">
        <v>393046</v>
      </c>
      <c r="F42" s="16"/>
      <c r="G42" s="18">
        <v>160998</v>
      </c>
      <c r="H42" s="16"/>
      <c r="I42" s="18">
        <f>757811-I71</f>
        <v>549756</v>
      </c>
      <c r="J42" s="16"/>
      <c r="K42" s="18">
        <v>0</v>
      </c>
      <c r="L42" s="16"/>
      <c r="M42" s="18">
        <f>1332253</f>
        <v>1332253</v>
      </c>
      <c r="N42" s="16"/>
      <c r="O42" s="18">
        <v>4281</v>
      </c>
      <c r="P42" s="16"/>
      <c r="Q42" s="27">
        <f t="shared" si="3"/>
        <v>2440334</v>
      </c>
      <c r="R42" s="13"/>
      <c r="S42" s="27">
        <f t="shared" si="4"/>
        <v>-2440334</v>
      </c>
    </row>
    <row r="43" spans="1:19" ht="15.75">
      <c r="A43" s="12" t="s">
        <v>61</v>
      </c>
      <c r="B43" s="12"/>
      <c r="C43" s="18">
        <f>4032-C72</f>
        <v>1500</v>
      </c>
      <c r="D43" s="16"/>
      <c r="E43" s="18">
        <v>190178</v>
      </c>
      <c r="F43" s="16"/>
      <c r="G43" s="18">
        <v>109862</v>
      </c>
      <c r="H43" s="16"/>
      <c r="I43" s="18">
        <f>359607-I72</f>
        <v>338710</v>
      </c>
      <c r="J43" s="16"/>
      <c r="K43" s="18">
        <v>0</v>
      </c>
      <c r="L43" s="16"/>
      <c r="M43" s="18">
        <v>280178</v>
      </c>
      <c r="N43" s="16"/>
      <c r="O43" s="18">
        <v>4771</v>
      </c>
      <c r="P43" s="16"/>
      <c r="Q43" s="27">
        <f t="shared" si="3"/>
        <v>923699</v>
      </c>
      <c r="R43" s="31"/>
      <c r="S43" s="27">
        <f t="shared" si="4"/>
        <v>-922199</v>
      </c>
    </row>
    <row r="44" spans="1:19" ht="15.75">
      <c r="A44" s="12" t="s">
        <v>62</v>
      </c>
      <c r="B44" s="12"/>
      <c r="C44" s="18">
        <f>3826-C73</f>
        <v>450</v>
      </c>
      <c r="D44" s="16"/>
      <c r="E44" s="18">
        <v>289817</v>
      </c>
      <c r="F44" s="16"/>
      <c r="G44" s="18">
        <v>116021</v>
      </c>
      <c r="H44" s="16"/>
      <c r="I44" s="18">
        <f>316578-I73</f>
        <v>255843</v>
      </c>
      <c r="J44" s="16"/>
      <c r="K44" s="18">
        <v>0</v>
      </c>
      <c r="L44" s="16"/>
      <c r="M44" s="18">
        <v>416020</v>
      </c>
      <c r="N44" s="16"/>
      <c r="O44" s="18">
        <v>4362</v>
      </c>
      <c r="P44" s="16"/>
      <c r="Q44" s="27">
        <f t="shared" si="3"/>
        <v>1082063</v>
      </c>
      <c r="R44" s="13"/>
      <c r="S44" s="27">
        <f t="shared" si="4"/>
        <v>-1081613</v>
      </c>
    </row>
    <row r="45" spans="1:19" ht="15.75">
      <c r="A45" s="12" t="s">
        <v>63</v>
      </c>
      <c r="B45" s="12"/>
      <c r="C45" s="18">
        <f>52983-C74</f>
        <v>10462</v>
      </c>
      <c r="D45" s="16"/>
      <c r="E45" s="18">
        <v>817375</v>
      </c>
      <c r="F45" s="16"/>
      <c r="G45" s="18">
        <v>336042</v>
      </c>
      <c r="H45" s="16"/>
      <c r="I45" s="18">
        <f>2067536-I74</f>
        <v>1401692</v>
      </c>
      <c r="J45" s="16"/>
      <c r="K45" s="18">
        <v>0</v>
      </c>
      <c r="L45" s="16"/>
      <c r="M45" s="18">
        <v>1837955</v>
      </c>
      <c r="N45" s="16"/>
      <c r="O45" s="18">
        <v>60720</v>
      </c>
      <c r="P45" s="16"/>
      <c r="Q45" s="27">
        <f t="shared" si="3"/>
        <v>4453784</v>
      </c>
      <c r="R45" s="13"/>
      <c r="S45" s="27">
        <f t="shared" si="4"/>
        <v>-4443322</v>
      </c>
    </row>
    <row r="46" spans="1:19" ht="15.75">
      <c r="A46" s="12" t="s">
        <v>108</v>
      </c>
      <c r="B46" s="12"/>
      <c r="C46" s="18">
        <f>8925-C75</f>
        <v>0</v>
      </c>
      <c r="D46" s="16"/>
      <c r="E46" s="18">
        <v>154890</v>
      </c>
      <c r="F46" s="16"/>
      <c r="G46" s="18">
        <v>59174</v>
      </c>
      <c r="H46" s="16"/>
      <c r="I46" s="18">
        <f>264876-I75</f>
        <v>219207</v>
      </c>
      <c r="J46" s="16"/>
      <c r="K46" s="18">
        <v>0</v>
      </c>
      <c r="L46" s="16"/>
      <c r="M46" s="18">
        <v>234371</v>
      </c>
      <c r="N46" s="16"/>
      <c r="O46" s="18">
        <v>0</v>
      </c>
      <c r="P46" s="16"/>
      <c r="Q46" s="27">
        <f t="shared" si="3"/>
        <v>667642</v>
      </c>
      <c r="R46" s="13"/>
      <c r="S46" s="27">
        <f t="shared" si="4"/>
        <v>-667642</v>
      </c>
    </row>
    <row r="47" spans="1:19" ht="15.75">
      <c r="A47" s="12" t="s">
        <v>64</v>
      </c>
      <c r="B47" s="12"/>
      <c r="C47" s="18">
        <v>3000</v>
      </c>
      <c r="D47" s="16"/>
      <c r="E47" s="18">
        <v>318841</v>
      </c>
      <c r="F47" s="16"/>
      <c r="G47" s="18">
        <v>135206</v>
      </c>
      <c r="H47" s="16"/>
      <c r="I47" s="18">
        <v>584733</v>
      </c>
      <c r="J47" s="16"/>
      <c r="K47" s="18">
        <v>0</v>
      </c>
      <c r="L47" s="16"/>
      <c r="M47" s="18">
        <v>748058</v>
      </c>
      <c r="N47" s="16"/>
      <c r="O47" s="18">
        <v>1835</v>
      </c>
      <c r="P47" s="16"/>
      <c r="Q47" s="27">
        <f t="shared" si="3"/>
        <v>1788673</v>
      </c>
      <c r="R47" s="13"/>
      <c r="S47" s="27">
        <f t="shared" si="4"/>
        <v>-1785673</v>
      </c>
    </row>
    <row r="48" spans="1:19" ht="15.75">
      <c r="A48" s="12" t="s">
        <v>65</v>
      </c>
      <c r="B48" s="12"/>
      <c r="C48" s="17">
        <f>SUM(C32:C47)</f>
        <v>47185080</v>
      </c>
      <c r="D48" s="16"/>
      <c r="E48" s="17">
        <f>SUM(E32:E47)</f>
        <v>19183345</v>
      </c>
      <c r="F48" s="16"/>
      <c r="G48" s="17">
        <f>SUM(G32:G47)</f>
        <v>5915493</v>
      </c>
      <c r="H48" s="16"/>
      <c r="I48" s="17">
        <f>SUM(I32:I47)</f>
        <v>19997388</v>
      </c>
      <c r="J48" s="16"/>
      <c r="K48" s="17">
        <f>SUM(K32:K47)</f>
        <v>0</v>
      </c>
      <c r="L48" s="16"/>
      <c r="M48" s="17">
        <f>SUM(M32:M47)</f>
        <v>14080080</v>
      </c>
      <c r="N48" s="16"/>
      <c r="O48" s="17">
        <f>SUM(O32:O47)</f>
        <v>133978</v>
      </c>
      <c r="P48" s="16"/>
      <c r="Q48" s="17">
        <f>SUM(Q32:Q47)</f>
        <v>59310284</v>
      </c>
      <c r="R48" s="13"/>
      <c r="S48" s="17">
        <f>SUM(S32:S47)</f>
        <v>-12125204</v>
      </c>
    </row>
    <row r="49" spans="1:19" ht="15.75">
      <c r="A49" s="12"/>
      <c r="B49" s="12"/>
      <c r="C49" s="18"/>
      <c r="D49" s="16"/>
      <c r="E49" s="18"/>
      <c r="F49" s="16"/>
      <c r="G49" s="18"/>
      <c r="H49" s="16"/>
      <c r="I49" s="18"/>
      <c r="J49" s="16"/>
      <c r="K49" s="18"/>
      <c r="L49" s="16"/>
      <c r="M49" s="18"/>
      <c r="N49" s="16"/>
      <c r="O49" s="18"/>
      <c r="P49" s="16"/>
      <c r="Q49" s="27"/>
      <c r="R49" s="13"/>
      <c r="S49" s="27"/>
    </row>
    <row r="50" spans="1:19" ht="15.75">
      <c r="A50" s="12" t="s">
        <v>66</v>
      </c>
      <c r="B50" s="12"/>
      <c r="C50" s="18"/>
      <c r="D50" s="16"/>
      <c r="E50" s="18"/>
      <c r="F50" s="16"/>
      <c r="G50" s="18"/>
      <c r="H50" s="16"/>
      <c r="I50" s="18"/>
      <c r="J50" s="16"/>
      <c r="K50" s="18"/>
      <c r="L50" s="16"/>
      <c r="M50" s="18"/>
      <c r="N50" s="16"/>
      <c r="O50" s="18"/>
      <c r="P50" s="16"/>
      <c r="Q50" s="27"/>
      <c r="R50" s="13"/>
      <c r="S50" s="27"/>
    </row>
    <row r="51" spans="1:19" ht="15.75">
      <c r="A51" s="12" t="s">
        <v>67</v>
      </c>
      <c r="B51" s="12"/>
      <c r="C51" s="18">
        <v>0</v>
      </c>
      <c r="D51" s="16"/>
      <c r="E51" s="18">
        <v>302816</v>
      </c>
      <c r="F51" s="16"/>
      <c r="G51" s="18">
        <v>91477</v>
      </c>
      <c r="H51" s="16"/>
      <c r="I51" s="18">
        <v>891527</v>
      </c>
      <c r="J51" s="16"/>
      <c r="K51" s="18">
        <v>0</v>
      </c>
      <c r="L51" s="16"/>
      <c r="M51" s="18">
        <v>349720</v>
      </c>
      <c r="N51" s="16"/>
      <c r="O51" s="18">
        <v>7709</v>
      </c>
      <c r="P51" s="16"/>
      <c r="Q51" s="27">
        <f>SUM(E51:O51)</f>
        <v>1643249</v>
      </c>
      <c r="R51" s="13"/>
      <c r="S51" s="27">
        <f>C51-Q51</f>
        <v>-1643249</v>
      </c>
    </row>
    <row r="52" spans="1:19" ht="15.75">
      <c r="A52" s="12" t="s">
        <v>68</v>
      </c>
      <c r="B52" s="12"/>
      <c r="C52" s="18">
        <v>116548</v>
      </c>
      <c r="D52" s="16"/>
      <c r="E52" s="18">
        <v>106062</v>
      </c>
      <c r="F52" s="16"/>
      <c r="G52" s="18">
        <v>28456</v>
      </c>
      <c r="H52" s="16"/>
      <c r="I52" s="18">
        <v>200589</v>
      </c>
      <c r="J52" s="16"/>
      <c r="K52" s="18">
        <v>0</v>
      </c>
      <c r="L52" s="16"/>
      <c r="M52" s="18">
        <v>55880</v>
      </c>
      <c r="N52" s="16"/>
      <c r="O52" s="18">
        <v>0</v>
      </c>
      <c r="P52" s="16"/>
      <c r="Q52" s="27">
        <f>SUM(E52:O52)</f>
        <v>390987</v>
      </c>
      <c r="R52" s="13"/>
      <c r="S52" s="27">
        <f>C52-Q52</f>
        <v>-274439</v>
      </c>
    </row>
    <row r="53" spans="1:19" ht="15.75">
      <c r="A53" s="12" t="s">
        <v>69</v>
      </c>
      <c r="B53" s="12"/>
      <c r="C53" s="18">
        <v>0</v>
      </c>
      <c r="D53" s="16"/>
      <c r="E53" s="18">
        <v>286993</v>
      </c>
      <c r="F53" s="16"/>
      <c r="G53" s="18">
        <v>115524</v>
      </c>
      <c r="H53" s="16"/>
      <c r="I53" s="18">
        <v>252947</v>
      </c>
      <c r="J53" s="16"/>
      <c r="K53" s="18">
        <v>0</v>
      </c>
      <c r="L53" s="16"/>
      <c r="M53" s="18">
        <v>0</v>
      </c>
      <c r="N53" s="16"/>
      <c r="O53" s="18">
        <v>25481</v>
      </c>
      <c r="P53" s="16"/>
      <c r="Q53" s="27">
        <f>SUM(E53:O53)</f>
        <v>680945</v>
      </c>
      <c r="R53" s="13"/>
      <c r="S53" s="27">
        <f>C53-Q53</f>
        <v>-680945</v>
      </c>
    </row>
    <row r="54" spans="1:19" ht="15.75">
      <c r="A54" s="12" t="s">
        <v>70</v>
      </c>
      <c r="B54" s="12"/>
      <c r="C54" s="18">
        <v>0</v>
      </c>
      <c r="D54" s="16"/>
      <c r="E54" s="18">
        <v>990402</v>
      </c>
      <c r="F54" s="16"/>
      <c r="G54" s="18">
        <v>448389</v>
      </c>
      <c r="H54" s="16"/>
      <c r="I54" s="18">
        <v>800671</v>
      </c>
      <c r="J54" s="16"/>
      <c r="K54" s="18">
        <v>0</v>
      </c>
      <c r="L54" s="16"/>
      <c r="M54" s="18">
        <v>322858</v>
      </c>
      <c r="N54" s="16"/>
      <c r="O54" s="18">
        <v>72026</v>
      </c>
      <c r="P54" s="16"/>
      <c r="Q54" s="27">
        <f>SUM(E54:O54)</f>
        <v>2634346</v>
      </c>
      <c r="R54" s="13"/>
      <c r="S54" s="27">
        <f>C54-Q54</f>
        <v>-2634346</v>
      </c>
    </row>
    <row r="55" spans="1:19" ht="15.75">
      <c r="A55" s="12" t="s">
        <v>71</v>
      </c>
      <c r="B55" s="12"/>
      <c r="C55" s="18">
        <v>0</v>
      </c>
      <c r="D55" s="16"/>
      <c r="E55" s="18">
        <v>879723</v>
      </c>
      <c r="F55" s="16"/>
      <c r="G55" s="18">
        <v>389136</v>
      </c>
      <c r="H55" s="16"/>
      <c r="I55" s="18">
        <v>375016</v>
      </c>
      <c r="J55" s="16"/>
      <c r="K55" s="18">
        <v>0</v>
      </c>
      <c r="L55" s="16"/>
      <c r="M55" s="18">
        <v>55465</v>
      </c>
      <c r="N55" s="16"/>
      <c r="O55" s="18">
        <v>5074</v>
      </c>
      <c r="P55" s="16"/>
      <c r="Q55" s="27">
        <f>SUM(E55:O55)</f>
        <v>1704414</v>
      </c>
      <c r="R55" s="31"/>
      <c r="S55" s="27">
        <f>C55-Q55</f>
        <v>-1704414</v>
      </c>
    </row>
    <row r="56" spans="1:19" ht="15.75">
      <c r="A56" s="12" t="s">
        <v>72</v>
      </c>
      <c r="B56" s="12"/>
      <c r="C56" s="17">
        <f>SUM(C51:C55)</f>
        <v>116548</v>
      </c>
      <c r="D56" s="16"/>
      <c r="E56" s="17">
        <f>SUM(E51:E55)</f>
        <v>2565996</v>
      </c>
      <c r="F56" s="16"/>
      <c r="G56" s="17">
        <f>SUM(G51:G55)</f>
        <v>1072982</v>
      </c>
      <c r="H56" s="16"/>
      <c r="I56" s="17">
        <f>SUM(I51:I55)</f>
        <v>2520750</v>
      </c>
      <c r="J56" s="16"/>
      <c r="K56" s="17">
        <f>SUM(K51:K55)</f>
        <v>0</v>
      </c>
      <c r="L56" s="16"/>
      <c r="M56" s="17">
        <f>SUM(M51:M55)</f>
        <v>783923</v>
      </c>
      <c r="N56" s="16"/>
      <c r="O56" s="17">
        <f>SUM(O51:O55)</f>
        <v>110290</v>
      </c>
      <c r="P56" s="16"/>
      <c r="Q56" s="17">
        <f>SUM(Q50:Q55)</f>
        <v>7053941</v>
      </c>
      <c r="R56" s="31"/>
      <c r="S56" s="17">
        <f>SUM(S50:S55)</f>
        <v>-6937393</v>
      </c>
    </row>
    <row r="57" spans="1:19" ht="15.75">
      <c r="A57" s="12"/>
      <c r="B57" s="12"/>
      <c r="C57" s="18"/>
      <c r="D57" s="16"/>
      <c r="E57" s="18"/>
      <c r="F57" s="16"/>
      <c r="G57" s="18"/>
      <c r="H57" s="16"/>
      <c r="I57" s="18"/>
      <c r="J57" s="16"/>
      <c r="K57" s="18"/>
      <c r="L57" s="16"/>
      <c r="M57" s="18"/>
      <c r="N57" s="16"/>
      <c r="O57" s="18"/>
      <c r="P57" s="16"/>
      <c r="Q57" s="27"/>
      <c r="R57" s="31"/>
      <c r="S57" s="27"/>
    </row>
    <row r="58" spans="1:19" ht="16.5" thickBot="1">
      <c r="A58" s="34" t="s">
        <v>73</v>
      </c>
      <c r="B58" s="12"/>
      <c r="C58" s="33">
        <f>C56+C48+C30</f>
        <v>130470111</v>
      </c>
      <c r="D58" s="16"/>
      <c r="E58" s="33">
        <f>E56+E48+E30</f>
        <v>30006388</v>
      </c>
      <c r="F58" s="16"/>
      <c r="G58" s="33">
        <f>G56+G48+G30</f>
        <v>9737760</v>
      </c>
      <c r="H58" s="16"/>
      <c r="I58" s="33">
        <f>I56+I48+I30</f>
        <v>56590364</v>
      </c>
      <c r="J58" s="16"/>
      <c r="K58" s="33">
        <f>K56+K48+K30</f>
        <v>7439620</v>
      </c>
      <c r="L58" s="16"/>
      <c r="M58" s="33">
        <f>M56+M48+M30</f>
        <v>15072974</v>
      </c>
      <c r="N58" s="16"/>
      <c r="O58" s="33">
        <f>O56+O48+O30</f>
        <v>571464</v>
      </c>
      <c r="P58" s="16"/>
      <c r="Q58" s="33">
        <f>Q56+Q48+Q30</f>
        <v>119418570</v>
      </c>
      <c r="R58" s="31"/>
      <c r="S58" s="33">
        <f>S56+S48+S30</f>
        <v>11051541</v>
      </c>
    </row>
    <row r="59" spans="1:19" ht="16.5" thickTop="1">
      <c r="A59" s="12"/>
      <c r="B59" s="12"/>
      <c r="C59" s="18"/>
      <c r="D59" s="16"/>
      <c r="E59" s="18"/>
      <c r="F59" s="16"/>
      <c r="G59" s="18"/>
      <c r="H59" s="16"/>
      <c r="I59" s="18"/>
      <c r="J59" s="16"/>
      <c r="K59" s="18"/>
      <c r="L59" s="16"/>
      <c r="M59" s="18"/>
      <c r="N59" s="16"/>
      <c r="O59" s="18"/>
      <c r="P59" s="16"/>
      <c r="Q59" s="27"/>
      <c r="R59" s="31"/>
      <c r="S59" s="27"/>
    </row>
    <row r="60" spans="1:19" ht="15.75">
      <c r="A60" s="12" t="s">
        <v>74</v>
      </c>
      <c r="B60" s="12"/>
      <c r="C60" s="18"/>
      <c r="D60" s="16"/>
      <c r="E60" s="18"/>
      <c r="F60" s="16"/>
      <c r="G60" s="18"/>
      <c r="H60" s="16"/>
      <c r="I60" s="18"/>
      <c r="J60" s="16"/>
      <c r="K60" s="18"/>
      <c r="L60" s="16"/>
      <c r="M60" s="18"/>
      <c r="N60" s="16"/>
      <c r="O60" s="18"/>
      <c r="P60" s="16"/>
      <c r="Q60" s="27"/>
      <c r="R60" s="31"/>
      <c r="S60" s="27"/>
    </row>
    <row r="61" spans="1:19" ht="15.75">
      <c r="A61" s="12" t="s">
        <v>79</v>
      </c>
      <c r="B61" s="12"/>
      <c r="C61" s="18"/>
      <c r="D61" s="16"/>
      <c r="E61" s="18"/>
      <c r="F61" s="16"/>
      <c r="G61" s="18"/>
      <c r="H61" s="16"/>
      <c r="I61" s="18"/>
      <c r="J61" s="16"/>
      <c r="K61" s="18"/>
      <c r="L61" s="16"/>
      <c r="M61" s="18"/>
      <c r="N61" s="16"/>
      <c r="O61" s="18"/>
      <c r="P61" s="16"/>
      <c r="Q61" s="18"/>
      <c r="R61" s="31"/>
      <c r="S61" s="27"/>
    </row>
    <row r="62" spans="1:19" ht="15.75">
      <c r="A62" s="12" t="s">
        <v>80</v>
      </c>
      <c r="B62" s="12"/>
      <c r="C62" s="18">
        <v>1513580</v>
      </c>
      <c r="D62" s="16"/>
      <c r="E62" s="18">
        <v>265000</v>
      </c>
      <c r="F62" s="16"/>
      <c r="G62" s="18">
        <v>113950</v>
      </c>
      <c r="H62" s="16"/>
      <c r="I62" s="18">
        <v>1102451</v>
      </c>
      <c r="J62" s="16"/>
      <c r="K62" s="18">
        <v>151</v>
      </c>
      <c r="L62" s="16"/>
      <c r="M62" s="18">
        <v>0</v>
      </c>
      <c r="N62" s="16"/>
      <c r="O62" s="18">
        <v>0</v>
      </c>
      <c r="P62" s="16"/>
      <c r="Q62" s="27">
        <f aca="true" t="shared" si="5" ref="Q62:Q75">SUM(E62:O62)</f>
        <v>1481552</v>
      </c>
      <c r="R62" s="31"/>
      <c r="S62" s="27">
        <f aca="true" t="shared" si="6" ref="S62:S75">C62-Q62</f>
        <v>32028</v>
      </c>
    </row>
    <row r="63" spans="1:19" ht="15.75">
      <c r="A63" s="12" t="s">
        <v>81</v>
      </c>
      <c r="B63" s="12"/>
      <c r="C63" s="18">
        <v>-720</v>
      </c>
      <c r="D63" s="16"/>
      <c r="E63" s="18">
        <v>0</v>
      </c>
      <c r="F63" s="16"/>
      <c r="G63" s="18">
        <v>0</v>
      </c>
      <c r="H63" s="16"/>
      <c r="I63" s="18">
        <v>73628</v>
      </c>
      <c r="J63" s="16"/>
      <c r="K63" s="18">
        <v>0</v>
      </c>
      <c r="L63" s="16"/>
      <c r="M63" s="18">
        <v>0</v>
      </c>
      <c r="N63" s="16"/>
      <c r="O63" s="18">
        <v>0</v>
      </c>
      <c r="P63" s="16"/>
      <c r="Q63" s="27">
        <f t="shared" si="5"/>
        <v>73628</v>
      </c>
      <c r="R63" s="31"/>
      <c r="S63" s="27">
        <f t="shared" si="6"/>
        <v>-74348</v>
      </c>
    </row>
    <row r="64" spans="1:19" ht="15.75">
      <c r="A64" s="12" t="s">
        <v>75</v>
      </c>
      <c r="B64" s="12"/>
      <c r="C64" s="18">
        <v>51660</v>
      </c>
      <c r="D64" s="16"/>
      <c r="E64" s="18">
        <v>0</v>
      </c>
      <c r="F64" s="16"/>
      <c r="G64" s="18">
        <v>0</v>
      </c>
      <c r="H64" s="16"/>
      <c r="I64" s="18">
        <v>144312</v>
      </c>
      <c r="J64" s="16"/>
      <c r="K64" s="18">
        <v>0</v>
      </c>
      <c r="L64" s="16"/>
      <c r="M64" s="18">
        <v>0</v>
      </c>
      <c r="N64" s="16"/>
      <c r="O64" s="18">
        <v>0</v>
      </c>
      <c r="P64" s="16"/>
      <c r="Q64" s="27">
        <f t="shared" si="5"/>
        <v>144312</v>
      </c>
      <c r="R64" s="31"/>
      <c r="S64" s="27">
        <f t="shared" si="6"/>
        <v>-92652</v>
      </c>
    </row>
    <row r="65" spans="1:19" ht="15.75">
      <c r="A65" s="12" t="s">
        <v>76</v>
      </c>
      <c r="B65" s="12"/>
      <c r="C65" s="18">
        <v>835451</v>
      </c>
      <c r="D65" s="16"/>
      <c r="E65" s="18">
        <v>2263</v>
      </c>
      <c r="F65" s="16"/>
      <c r="G65" s="18">
        <v>903</v>
      </c>
      <c r="H65" s="16"/>
      <c r="I65" s="18">
        <v>436012</v>
      </c>
      <c r="J65" s="16"/>
      <c r="K65" s="18">
        <v>0</v>
      </c>
      <c r="L65" s="16"/>
      <c r="M65" s="18">
        <v>0</v>
      </c>
      <c r="N65" s="16"/>
      <c r="O65" s="18">
        <v>0</v>
      </c>
      <c r="P65" s="16"/>
      <c r="Q65" s="27">
        <f t="shared" si="5"/>
        <v>439178</v>
      </c>
      <c r="R65" s="31"/>
      <c r="S65" s="27">
        <f t="shared" si="6"/>
        <v>396273</v>
      </c>
    </row>
    <row r="66" spans="1:19" ht="15.75">
      <c r="A66" s="12" t="s">
        <v>77</v>
      </c>
      <c r="B66" s="12"/>
      <c r="C66" s="18">
        <v>98617</v>
      </c>
      <c r="D66" s="16"/>
      <c r="E66" s="18">
        <v>2500</v>
      </c>
      <c r="F66" s="16"/>
      <c r="G66" s="18">
        <v>156</v>
      </c>
      <c r="H66" s="16"/>
      <c r="I66" s="18">
        <v>273134</v>
      </c>
      <c r="J66" s="16"/>
      <c r="K66" s="18">
        <v>0</v>
      </c>
      <c r="L66" s="16"/>
      <c r="M66" s="18">
        <v>0</v>
      </c>
      <c r="N66" s="16"/>
      <c r="O66" s="18">
        <v>0</v>
      </c>
      <c r="P66" s="16"/>
      <c r="Q66" s="27">
        <f t="shared" si="5"/>
        <v>275790</v>
      </c>
      <c r="R66" s="31"/>
      <c r="S66" s="27">
        <f t="shared" si="6"/>
        <v>-177173</v>
      </c>
    </row>
    <row r="67" spans="1:19" ht="15.75">
      <c r="A67" s="12" t="s">
        <v>82</v>
      </c>
      <c r="B67" s="12"/>
      <c r="C67" s="18">
        <v>6600</v>
      </c>
      <c r="D67" s="16"/>
      <c r="E67" s="18">
        <v>0</v>
      </c>
      <c r="F67" s="16"/>
      <c r="G67" s="18">
        <v>0</v>
      </c>
      <c r="H67" s="16"/>
      <c r="I67" s="18">
        <v>119572</v>
      </c>
      <c r="J67" s="16"/>
      <c r="K67" s="18">
        <v>0</v>
      </c>
      <c r="L67" s="16"/>
      <c r="M67" s="18">
        <v>0</v>
      </c>
      <c r="N67" s="16"/>
      <c r="O67" s="18">
        <v>0</v>
      </c>
      <c r="P67" s="16"/>
      <c r="Q67" s="27">
        <f t="shared" si="5"/>
        <v>119572</v>
      </c>
      <c r="R67" s="31"/>
      <c r="S67" s="27">
        <f t="shared" si="6"/>
        <v>-112972</v>
      </c>
    </row>
    <row r="68" spans="1:19" ht="15.75">
      <c r="A68" s="12" t="s">
        <v>83</v>
      </c>
      <c r="B68" s="12"/>
      <c r="C68" s="18">
        <v>0</v>
      </c>
      <c r="D68" s="16"/>
      <c r="E68" s="18">
        <v>0</v>
      </c>
      <c r="F68" s="16"/>
      <c r="G68" s="18">
        <v>0</v>
      </c>
      <c r="H68" s="16"/>
      <c r="I68" s="18">
        <v>15620</v>
      </c>
      <c r="J68" s="16"/>
      <c r="K68" s="18">
        <v>0</v>
      </c>
      <c r="L68" s="16"/>
      <c r="M68" s="18">
        <v>0</v>
      </c>
      <c r="N68" s="16"/>
      <c r="O68" s="18">
        <v>0</v>
      </c>
      <c r="P68" s="16"/>
      <c r="Q68" s="27">
        <f t="shared" si="5"/>
        <v>15620</v>
      </c>
      <c r="R68" s="31"/>
      <c r="S68" s="27">
        <f t="shared" si="6"/>
        <v>-15620</v>
      </c>
    </row>
    <row r="69" spans="1:19" ht="15.75">
      <c r="A69" s="12" t="s">
        <v>78</v>
      </c>
      <c r="B69" s="12"/>
      <c r="C69" s="18">
        <v>11873</v>
      </c>
      <c r="D69" s="16"/>
      <c r="E69" s="18">
        <v>0</v>
      </c>
      <c r="F69" s="16"/>
      <c r="G69" s="18">
        <v>0</v>
      </c>
      <c r="H69" s="16"/>
      <c r="I69" s="18">
        <v>206712</v>
      </c>
      <c r="J69" s="16"/>
      <c r="K69" s="18">
        <v>0</v>
      </c>
      <c r="L69" s="16"/>
      <c r="M69" s="18">
        <v>0</v>
      </c>
      <c r="N69" s="16"/>
      <c r="O69" s="18">
        <v>0</v>
      </c>
      <c r="P69" s="16"/>
      <c r="Q69" s="27">
        <f t="shared" si="5"/>
        <v>206712</v>
      </c>
      <c r="R69" s="31"/>
      <c r="S69" s="27">
        <f t="shared" si="6"/>
        <v>-194839</v>
      </c>
    </row>
    <row r="70" spans="1:19" ht="15.75">
      <c r="A70" s="12" t="s">
        <v>84</v>
      </c>
      <c r="B70" s="12"/>
      <c r="C70" s="18">
        <v>0</v>
      </c>
      <c r="D70" s="16"/>
      <c r="E70" s="18">
        <v>0</v>
      </c>
      <c r="F70" s="16"/>
      <c r="G70" s="18">
        <v>0</v>
      </c>
      <c r="H70" s="16"/>
      <c r="I70" s="18">
        <v>45</v>
      </c>
      <c r="J70" s="16"/>
      <c r="K70" s="18">
        <v>0</v>
      </c>
      <c r="L70" s="16"/>
      <c r="M70" s="18">
        <v>0</v>
      </c>
      <c r="N70" s="16"/>
      <c r="O70" s="18">
        <v>0</v>
      </c>
      <c r="P70" s="16"/>
      <c r="Q70" s="27">
        <f t="shared" si="5"/>
        <v>45</v>
      </c>
      <c r="R70" s="31"/>
      <c r="S70" s="27">
        <f t="shared" si="6"/>
        <v>-45</v>
      </c>
    </row>
    <row r="71" spans="1:19" ht="15.75">
      <c r="A71" s="12" t="s">
        <v>85</v>
      </c>
      <c r="B71" s="12"/>
      <c r="C71" s="18">
        <v>7800</v>
      </c>
      <c r="D71" s="16"/>
      <c r="E71" s="18">
        <v>0</v>
      </c>
      <c r="F71" s="16"/>
      <c r="G71" s="18">
        <v>0</v>
      </c>
      <c r="H71" s="16"/>
      <c r="I71" s="18">
        <v>208055</v>
      </c>
      <c r="J71" s="16"/>
      <c r="K71" s="18">
        <v>0</v>
      </c>
      <c r="L71" s="16"/>
      <c r="M71" s="18">
        <v>0</v>
      </c>
      <c r="N71" s="16"/>
      <c r="O71" s="18">
        <v>0</v>
      </c>
      <c r="P71" s="16"/>
      <c r="Q71" s="27">
        <f t="shared" si="5"/>
        <v>208055</v>
      </c>
      <c r="R71" s="31"/>
      <c r="S71" s="27">
        <f t="shared" si="6"/>
        <v>-200255</v>
      </c>
    </row>
    <row r="72" spans="1:19" ht="15.75">
      <c r="A72" s="12" t="s">
        <v>86</v>
      </c>
      <c r="B72" s="12"/>
      <c r="C72" s="18">
        <v>2532</v>
      </c>
      <c r="D72" s="16"/>
      <c r="E72" s="18">
        <v>0</v>
      </c>
      <c r="F72" s="16"/>
      <c r="G72" s="18">
        <v>0</v>
      </c>
      <c r="H72" s="16"/>
      <c r="I72" s="18">
        <v>20897</v>
      </c>
      <c r="J72" s="16"/>
      <c r="K72" s="18">
        <v>0</v>
      </c>
      <c r="L72" s="16"/>
      <c r="M72" s="18">
        <v>0</v>
      </c>
      <c r="N72" s="16"/>
      <c r="O72" s="18">
        <v>0</v>
      </c>
      <c r="P72" s="16"/>
      <c r="Q72" s="27">
        <f t="shared" si="5"/>
        <v>20897</v>
      </c>
      <c r="R72" s="31"/>
      <c r="S72" s="27">
        <f t="shared" si="6"/>
        <v>-18365</v>
      </c>
    </row>
    <row r="73" spans="1:19" ht="15.75">
      <c r="A73" s="12" t="s">
        <v>87</v>
      </c>
      <c r="B73" s="12"/>
      <c r="C73" s="18">
        <v>3376</v>
      </c>
      <c r="D73" s="16"/>
      <c r="E73" s="18">
        <v>0</v>
      </c>
      <c r="F73" s="16"/>
      <c r="G73" s="18">
        <v>0</v>
      </c>
      <c r="H73" s="16"/>
      <c r="I73" s="18">
        <v>60735</v>
      </c>
      <c r="J73" s="16"/>
      <c r="K73" s="18">
        <v>0</v>
      </c>
      <c r="L73" s="16"/>
      <c r="M73" s="18">
        <v>0</v>
      </c>
      <c r="N73" s="16"/>
      <c r="O73" s="18">
        <v>0</v>
      </c>
      <c r="P73" s="16"/>
      <c r="Q73" s="27">
        <f t="shared" si="5"/>
        <v>60735</v>
      </c>
      <c r="R73" s="31"/>
      <c r="S73" s="27">
        <f t="shared" si="6"/>
        <v>-57359</v>
      </c>
    </row>
    <row r="74" spans="1:19" ht="15.75">
      <c r="A74" s="12" t="s">
        <v>88</v>
      </c>
      <c r="B74" s="12"/>
      <c r="C74" s="18">
        <v>42521</v>
      </c>
      <c r="D74" s="16"/>
      <c r="E74" s="18">
        <v>0</v>
      </c>
      <c r="F74" s="16"/>
      <c r="G74" s="18">
        <v>0</v>
      </c>
      <c r="H74" s="16"/>
      <c r="I74" s="18">
        <v>665844</v>
      </c>
      <c r="J74" s="16"/>
      <c r="K74" s="18">
        <v>0</v>
      </c>
      <c r="L74" s="16"/>
      <c r="M74" s="18">
        <v>0</v>
      </c>
      <c r="N74" s="16"/>
      <c r="O74" s="18">
        <v>0</v>
      </c>
      <c r="P74" s="16"/>
      <c r="Q74" s="27">
        <f t="shared" si="5"/>
        <v>665844</v>
      </c>
      <c r="R74" s="31"/>
      <c r="S74" s="27">
        <f t="shared" si="6"/>
        <v>-623323</v>
      </c>
    </row>
    <row r="75" spans="1:19" ht="15.75">
      <c r="A75" s="12" t="s">
        <v>107</v>
      </c>
      <c r="B75" s="12"/>
      <c r="C75" s="18">
        <v>8925</v>
      </c>
      <c r="D75" s="16"/>
      <c r="E75" s="18">
        <v>0</v>
      </c>
      <c r="F75" s="16"/>
      <c r="G75" s="18">
        <v>0</v>
      </c>
      <c r="H75" s="16"/>
      <c r="I75" s="18">
        <v>45669</v>
      </c>
      <c r="J75" s="16"/>
      <c r="K75" s="18">
        <v>0</v>
      </c>
      <c r="L75" s="16"/>
      <c r="M75" s="18">
        <v>0</v>
      </c>
      <c r="N75" s="16"/>
      <c r="O75" s="18">
        <v>0</v>
      </c>
      <c r="P75" s="16"/>
      <c r="Q75" s="27">
        <f t="shared" si="5"/>
        <v>45669</v>
      </c>
      <c r="R75" s="31"/>
      <c r="S75" s="27">
        <f t="shared" si="6"/>
        <v>-36744</v>
      </c>
    </row>
    <row r="76" spans="1:19" ht="15.75">
      <c r="A76" s="12" t="s">
        <v>89</v>
      </c>
      <c r="B76" s="12"/>
      <c r="C76" s="17">
        <f>SUM(C62:C75)</f>
        <v>2582215</v>
      </c>
      <c r="D76" s="16"/>
      <c r="E76" s="17">
        <f>SUM(E62:E75)</f>
        <v>269763</v>
      </c>
      <c r="F76" s="16"/>
      <c r="G76" s="17">
        <f>SUM(G62:G75)</f>
        <v>115009</v>
      </c>
      <c r="H76" s="16"/>
      <c r="I76" s="17">
        <f>SUM(I62:I75)</f>
        <v>3372686</v>
      </c>
      <c r="J76" s="16"/>
      <c r="K76" s="17">
        <f>SUM(K62:K75)</f>
        <v>151</v>
      </c>
      <c r="L76" s="16"/>
      <c r="M76" s="17">
        <f>SUM(M62:M75)</f>
        <v>0</v>
      </c>
      <c r="N76" s="16"/>
      <c r="O76" s="17">
        <f>SUM(O62:O75)</f>
        <v>0</v>
      </c>
      <c r="P76" s="16"/>
      <c r="Q76" s="17">
        <f>SUM(Q62:Q75)</f>
        <v>3757609</v>
      </c>
      <c r="R76" s="31"/>
      <c r="S76" s="17">
        <f>SUM(S62:S75)</f>
        <v>-1175394</v>
      </c>
    </row>
    <row r="77" spans="1:19" ht="15.75">
      <c r="A77" s="12"/>
      <c r="B77" s="12"/>
      <c r="C77" s="18"/>
      <c r="D77" s="16"/>
      <c r="E77" s="18"/>
      <c r="F77" s="16"/>
      <c r="G77" s="18"/>
      <c r="H77" s="16"/>
      <c r="I77" s="18"/>
      <c r="J77" s="16"/>
      <c r="K77" s="18"/>
      <c r="L77" s="16"/>
      <c r="M77" s="18"/>
      <c r="N77" s="16"/>
      <c r="O77" s="18"/>
      <c r="P77" s="16"/>
      <c r="Q77" s="27"/>
      <c r="R77" s="31"/>
      <c r="S77" s="27"/>
    </row>
    <row r="78" spans="1:19" ht="16.5" thickBot="1">
      <c r="A78" s="12" t="s">
        <v>90</v>
      </c>
      <c r="B78" s="12"/>
      <c r="C78" s="33">
        <f>C76</f>
        <v>2582215</v>
      </c>
      <c r="D78" s="16"/>
      <c r="E78" s="33">
        <f>E76</f>
        <v>269763</v>
      </c>
      <c r="F78" s="16"/>
      <c r="G78" s="33">
        <f>G76</f>
        <v>115009</v>
      </c>
      <c r="H78" s="16"/>
      <c r="I78" s="33">
        <f>I76</f>
        <v>3372686</v>
      </c>
      <c r="J78" s="16"/>
      <c r="K78" s="33">
        <f>K76</f>
        <v>151</v>
      </c>
      <c r="L78" s="16"/>
      <c r="M78" s="33">
        <f>M76</f>
        <v>0</v>
      </c>
      <c r="N78" s="16"/>
      <c r="O78" s="33">
        <f>O76</f>
        <v>0</v>
      </c>
      <c r="P78" s="16"/>
      <c r="Q78" s="33">
        <f>Q76</f>
        <v>3757609</v>
      </c>
      <c r="R78" s="31"/>
      <c r="S78" s="33">
        <f>S76</f>
        <v>-1175394</v>
      </c>
    </row>
    <row r="79" spans="1:19" ht="16.5" thickTop="1">
      <c r="A79" s="12"/>
      <c r="B79" s="12"/>
      <c r="C79" s="18"/>
      <c r="D79" s="16"/>
      <c r="E79" s="18"/>
      <c r="F79" s="16"/>
      <c r="G79" s="18"/>
      <c r="H79" s="16"/>
      <c r="I79" s="18"/>
      <c r="J79" s="16"/>
      <c r="K79" s="18"/>
      <c r="L79" s="16"/>
      <c r="M79" s="18"/>
      <c r="N79" s="16"/>
      <c r="O79" s="18"/>
      <c r="P79" s="16"/>
      <c r="Q79" s="27"/>
      <c r="R79" s="31"/>
      <c r="S79" s="27"/>
    </row>
    <row r="80" spans="1:19" ht="16.5" thickBot="1">
      <c r="A80" s="12" t="s">
        <v>91</v>
      </c>
      <c r="B80" s="12"/>
      <c r="C80" s="36">
        <f>C78+C58</f>
        <v>133052326</v>
      </c>
      <c r="D80" s="16"/>
      <c r="E80" s="36">
        <f>E78+E58</f>
        <v>30276151</v>
      </c>
      <c r="F80" s="16"/>
      <c r="G80" s="36">
        <f>G78+G58</f>
        <v>9852769</v>
      </c>
      <c r="H80" s="16"/>
      <c r="I80" s="36">
        <f>I78+I58</f>
        <v>59963050</v>
      </c>
      <c r="J80" s="16"/>
      <c r="K80" s="36">
        <f>K78+K58</f>
        <v>7439771</v>
      </c>
      <c r="L80" s="16"/>
      <c r="M80" s="36">
        <f>M78+M58</f>
        <v>15072974</v>
      </c>
      <c r="N80" s="16"/>
      <c r="O80" s="36">
        <f>O78+O58</f>
        <v>571464</v>
      </c>
      <c r="P80" s="16"/>
      <c r="Q80" s="36">
        <f>Q78+Q58</f>
        <v>123176179</v>
      </c>
      <c r="R80" s="16"/>
      <c r="S80" s="36">
        <f>S78+S58</f>
        <v>9876147</v>
      </c>
    </row>
    <row r="81" ht="14.25" thickTop="1">
      <c r="A81" s="26"/>
    </row>
  </sheetData>
  <sheetProtection/>
  <mergeCells count="5">
    <mergeCell ref="C3:S3"/>
    <mergeCell ref="C5:S5"/>
    <mergeCell ref="C6:S6"/>
    <mergeCell ref="E9:Q9"/>
    <mergeCell ref="A3:A6"/>
  </mergeCells>
  <conditionalFormatting sqref="A12:S80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2" horizontalDpi="600" verticalDpi="600" orientation="landscape" scale="66" r:id="rId2"/>
  <rowBreaks count="1" manualBreakCount="1">
    <brk id="49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18"/>
  <sheetViews>
    <sheetView tabSelected="1" zoomScalePageLayoutView="0" workbookViewId="0" topLeftCell="A1">
      <selection activeCell="S23" sqref="S23"/>
    </sheetView>
  </sheetViews>
  <sheetFormatPr defaultColWidth="9.140625" defaultRowHeight="15"/>
  <cols>
    <col min="1" max="1" width="23.7109375" style="5" bestFit="1" customWidth="1"/>
    <col min="2" max="2" width="1.7109375" style="4" customWidth="1"/>
    <col min="3" max="3" width="13.7109375" style="4" customWidth="1"/>
    <col min="4" max="4" width="1.7109375" style="4" customWidth="1"/>
    <col min="5" max="5" width="13.7109375" style="4" customWidth="1"/>
    <col min="6" max="6" width="1.7109375" style="4" customWidth="1"/>
    <col min="7" max="7" width="13.7109375" style="4" customWidth="1"/>
    <col min="8" max="8" width="1.7109375" style="4" customWidth="1"/>
    <col min="9" max="9" width="13.7109375" style="4" customWidth="1"/>
    <col min="10" max="10" width="1.7109375" style="4" customWidth="1"/>
    <col min="11" max="11" width="13.7109375" style="4" customWidth="1"/>
    <col min="12" max="12" width="1.7109375" style="4" customWidth="1"/>
    <col min="13" max="13" width="13.7109375" style="4" customWidth="1"/>
    <col min="14" max="14" width="1.7109375" style="4" customWidth="1"/>
    <col min="15" max="15" width="13.7109375" style="4" customWidth="1"/>
    <col min="16" max="16" width="1.7109375" style="4" customWidth="1"/>
    <col min="17" max="17" width="13.7109375" style="4" customWidth="1"/>
    <col min="18" max="16384" width="9.140625" style="4" customWidth="1"/>
  </cols>
  <sheetData>
    <row r="3" spans="1:17" ht="16.5">
      <c r="A3" s="41"/>
      <c r="C3" s="37" t="s">
        <v>92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9" customHeight="1">
      <c r="A4" s="41"/>
      <c r="C4" s="1"/>
      <c r="D4" s="2"/>
      <c r="E4" s="3"/>
      <c r="F4" s="2"/>
      <c r="G4" s="3"/>
      <c r="H4" s="2"/>
      <c r="I4" s="3"/>
      <c r="J4" s="3"/>
      <c r="K4" s="3"/>
      <c r="L4" s="2"/>
      <c r="M4" s="3"/>
      <c r="N4" s="2"/>
      <c r="O4" s="3"/>
      <c r="P4" s="2"/>
      <c r="Q4" s="3"/>
    </row>
    <row r="5" spans="1:17" ht="15.75">
      <c r="A5" s="41"/>
      <c r="C5" s="38" t="s">
        <v>100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15.75">
      <c r="A6" s="41"/>
      <c r="C6" s="38" t="s">
        <v>104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2:17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2:17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2:17" s="10" customFormat="1" ht="15.75">
      <c r="B9" s="25"/>
      <c r="C9" s="35"/>
      <c r="D9" s="25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25"/>
      <c r="Q9" s="28" t="s">
        <v>29</v>
      </c>
    </row>
    <row r="10" spans="2:17" s="29" customFormat="1" ht="15.75">
      <c r="B10" s="28"/>
      <c r="C10" s="28"/>
      <c r="D10" s="28"/>
      <c r="E10" s="28" t="s">
        <v>106</v>
      </c>
      <c r="F10" s="28"/>
      <c r="G10" s="28" t="s">
        <v>22</v>
      </c>
      <c r="H10" s="28"/>
      <c r="I10" s="28" t="s">
        <v>24</v>
      </c>
      <c r="J10" s="28"/>
      <c r="K10" s="28"/>
      <c r="L10" s="28"/>
      <c r="M10" s="28"/>
      <c r="N10" s="28"/>
      <c r="O10" s="28"/>
      <c r="P10" s="28"/>
      <c r="Q10" s="28" t="s">
        <v>30</v>
      </c>
    </row>
    <row r="11" spans="2:17" s="29" customFormat="1" ht="15.75">
      <c r="B11" s="28"/>
      <c r="C11" s="32" t="s">
        <v>29</v>
      </c>
      <c r="D11" s="28"/>
      <c r="E11" s="32" t="s">
        <v>21</v>
      </c>
      <c r="F11" s="28"/>
      <c r="G11" s="32" t="s">
        <v>23</v>
      </c>
      <c r="H11" s="28"/>
      <c r="I11" s="32" t="s">
        <v>25</v>
      </c>
      <c r="J11" s="35"/>
      <c r="K11" s="32" t="s">
        <v>110</v>
      </c>
      <c r="L11" s="28"/>
      <c r="M11" s="32" t="s">
        <v>28</v>
      </c>
      <c r="N11" s="28"/>
      <c r="O11" s="32" t="s">
        <v>18</v>
      </c>
      <c r="P11" s="28"/>
      <c r="Q11" s="32" t="s">
        <v>31</v>
      </c>
    </row>
    <row r="12" spans="1:17" ht="15.75">
      <c r="A12" s="12"/>
      <c r="B12" s="12"/>
      <c r="C12" s="12"/>
      <c r="D12" s="13"/>
      <c r="E12" s="12"/>
      <c r="F12" s="13"/>
      <c r="G12" s="12"/>
      <c r="H12" s="13"/>
      <c r="I12" s="12"/>
      <c r="J12" s="12"/>
      <c r="K12" s="12"/>
      <c r="L12" s="13"/>
      <c r="M12" s="12"/>
      <c r="N12" s="13"/>
      <c r="O12" s="12"/>
      <c r="P12" s="13"/>
      <c r="Q12" s="12"/>
    </row>
    <row r="13" spans="1:17" ht="15.75">
      <c r="A13" s="12" t="s">
        <v>93</v>
      </c>
      <c r="B13" s="12"/>
      <c r="C13" s="30">
        <f>775746+1</f>
        <v>775747</v>
      </c>
      <c r="D13" s="20"/>
      <c r="E13" s="30">
        <v>0</v>
      </c>
      <c r="F13" s="20"/>
      <c r="G13" s="30">
        <v>0</v>
      </c>
      <c r="H13" s="20"/>
      <c r="I13" s="30">
        <v>5013</v>
      </c>
      <c r="J13" s="30"/>
      <c r="K13" s="30">
        <v>3771</v>
      </c>
      <c r="L13" s="20"/>
      <c r="M13" s="30">
        <v>7241</v>
      </c>
      <c r="N13" s="20"/>
      <c r="O13" s="30">
        <f>SUM(E13:M13)</f>
        <v>16025</v>
      </c>
      <c r="P13" s="20"/>
      <c r="Q13" s="30">
        <f>C13-O13</f>
        <v>759722</v>
      </c>
    </row>
    <row r="14" spans="1:17" ht="15.75">
      <c r="A14" s="12" t="s">
        <v>94</v>
      </c>
      <c r="B14" s="12"/>
      <c r="C14" s="27">
        <v>2782397</v>
      </c>
      <c r="D14" s="13"/>
      <c r="E14" s="27">
        <v>0</v>
      </c>
      <c r="F14" s="13"/>
      <c r="G14" s="27">
        <v>0</v>
      </c>
      <c r="H14" s="13"/>
      <c r="I14" s="27">
        <v>7314</v>
      </c>
      <c r="J14" s="27"/>
      <c r="K14" s="27">
        <v>0</v>
      </c>
      <c r="L14" s="13"/>
      <c r="M14" s="27">
        <v>0</v>
      </c>
      <c r="N14" s="13"/>
      <c r="O14" s="27">
        <f>SUM(E14:M14)</f>
        <v>7314</v>
      </c>
      <c r="P14" s="13"/>
      <c r="Q14" s="12">
        <f>C14-O14</f>
        <v>2775083</v>
      </c>
    </row>
    <row r="15" spans="1:17" ht="15.75">
      <c r="A15" s="12" t="s">
        <v>109</v>
      </c>
      <c r="B15" s="12"/>
      <c r="C15" s="27">
        <v>23887093</v>
      </c>
      <c r="D15" s="31"/>
      <c r="E15" s="27">
        <v>603713</v>
      </c>
      <c r="F15" s="31"/>
      <c r="G15" s="27">
        <v>126209</v>
      </c>
      <c r="H15" s="31"/>
      <c r="I15" s="27">
        <v>532857</v>
      </c>
      <c r="J15" s="27"/>
      <c r="K15" s="27">
        <v>0</v>
      </c>
      <c r="L15" s="31"/>
      <c r="M15" s="27">
        <v>120927</v>
      </c>
      <c r="N15" s="31"/>
      <c r="O15" s="27">
        <f>SUM(E15:M15)</f>
        <v>1383706</v>
      </c>
      <c r="P15" s="31"/>
      <c r="Q15" s="27">
        <f>C15-O15</f>
        <v>22503387</v>
      </c>
    </row>
    <row r="16" spans="1:17" ht="16.5" thickBot="1">
      <c r="A16" s="12" t="s">
        <v>48</v>
      </c>
      <c r="B16" s="12"/>
      <c r="C16" s="36">
        <f>SUM(C13:C15)</f>
        <v>27445237</v>
      </c>
      <c r="D16" s="16"/>
      <c r="E16" s="36">
        <f>SUM(E13:E15)</f>
        <v>603713</v>
      </c>
      <c r="F16" s="16"/>
      <c r="G16" s="36">
        <f>SUM(G13:G15)</f>
        <v>126209</v>
      </c>
      <c r="H16" s="16"/>
      <c r="I16" s="36">
        <f>SUM(I13:I15)</f>
        <v>545184</v>
      </c>
      <c r="J16" s="20"/>
      <c r="K16" s="36">
        <f>SUM(K13:K15)</f>
        <v>3771</v>
      </c>
      <c r="L16" s="16"/>
      <c r="M16" s="36">
        <f>SUM(M13:M15)</f>
        <v>128168</v>
      </c>
      <c r="N16" s="16"/>
      <c r="O16" s="36">
        <f>SUM(O13:O15)</f>
        <v>1407045</v>
      </c>
      <c r="P16" s="16"/>
      <c r="Q16" s="36">
        <f>SUM(Q13:Q15)</f>
        <v>26038192</v>
      </c>
    </row>
    <row r="17" spans="1:17" ht="16.5" thickTop="1">
      <c r="A17" s="12"/>
      <c r="B17" s="1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ht="13.5">
      <c r="A18" s="26"/>
    </row>
  </sheetData>
  <sheetProtection/>
  <mergeCells count="5">
    <mergeCell ref="C3:Q3"/>
    <mergeCell ref="C5:Q5"/>
    <mergeCell ref="C6:Q6"/>
    <mergeCell ref="E9:O9"/>
    <mergeCell ref="A3:A6"/>
  </mergeCells>
  <conditionalFormatting sqref="A12:Q17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2018-03-15T17:56:12Z</cp:lastPrinted>
  <dcterms:created xsi:type="dcterms:W3CDTF">2009-06-22T13:37:23Z</dcterms:created>
  <dcterms:modified xsi:type="dcterms:W3CDTF">2018-03-15T17:59:00Z</dcterms:modified>
  <cp:category/>
  <cp:version/>
  <cp:contentType/>
  <cp:contentStatus/>
</cp:coreProperties>
</file>