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765" windowWidth="13155" windowHeight="9135" activeTab="0"/>
  </bookViews>
  <sheets>
    <sheet name="LSU-BR" sheetId="1" r:id="rId1"/>
  </sheets>
  <definedNames>
    <definedName name="_xlnm.Print_Area" localSheetId="0">'LSU-BR'!$A$1:$H$255</definedName>
    <definedName name="_xlnm.Print_Titles" localSheetId="0">'LSU-BR'!$1:$11</definedName>
  </definedNames>
  <calcPr fullCalcOnLoad="1"/>
</workbook>
</file>

<file path=xl/sharedStrings.xml><?xml version="1.0" encoding="utf-8"?>
<sst xmlns="http://schemas.openxmlformats.org/spreadsheetml/2006/main" count="556" uniqueCount="536">
  <si>
    <t>Allocations</t>
  </si>
  <si>
    <t>Expenditures</t>
  </si>
  <si>
    <t xml:space="preserve"> </t>
  </si>
  <si>
    <t>PER SPRDSHT</t>
  </si>
  <si>
    <t>per PLANT REPORT</t>
  </si>
  <si>
    <t xml:space="preserve"> State of Louisiana:</t>
  </si>
  <si>
    <t xml:space="preserve">   Facility Planning and Control -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</si>
  <si>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</si>
  <si>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</si>
  <si>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</si>
  <si>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</si>
  <si>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</si>
  <si>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</si>
  <si>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</si>
  <si>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</si>
  <si>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</si>
  <si>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</si>
  <si>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</si>
  <si>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</si>
  <si>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Emergency repairs</t>
  </si>
  <si>
    <t xml:space="preserve">     Residential life --</t>
  </si>
  <si>
    <t xml:space="preserve">       Tiger stadium renovations</t>
  </si>
  <si>
    <t xml:space="preserve">       Track renovation projects</t>
  </si>
  <si>
    <t xml:space="preserve">       Women's softball facility improvements</t>
  </si>
  <si>
    <t xml:space="preserve">       Faculty club renovations</t>
  </si>
  <si>
    <t xml:space="preserve">       Acadian hall</t>
  </si>
  <si>
    <t xml:space="preserve">       Broussard hall</t>
  </si>
  <si>
    <t xml:space="preserve">       East campus apartments</t>
  </si>
  <si>
    <t xml:space="preserve">       Herget hall</t>
  </si>
  <si>
    <t xml:space="preserve">       McVoy hall</t>
  </si>
  <si>
    <t xml:space="preserve">       Miller hall</t>
  </si>
  <si>
    <t xml:space="preserve">     Steam system repairs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</si>
  <si>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</si>
  <si>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</si>
  <si>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</si>
  <si>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</si>
  <si>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  Residential college</t>
  </si>
  <si>
    <t xml:space="preserve"> Other Sources:</t>
  </si>
  <si>
    <t xml:space="preserve">     Assembly center pressure steam boiler</t>
  </si>
  <si>
    <t xml:space="preserve">     Fire and emergency training institute</t>
  </si>
  <si>
    <t xml:space="preserve">           Total</t>
  </si>
  <si>
    <t xml:space="preserve">         Total university debt</t>
  </si>
  <si>
    <t xml:space="preserve">         Total other sources</t>
  </si>
  <si>
    <t xml:space="preserve">       Memorial oak grove</t>
  </si>
  <si>
    <t xml:space="preserve">       Various apartment renovations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</si>
  <si>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</si>
  <si>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</si>
  <si>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</si>
  <si>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</si>
  <si>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</si>
  <si>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</si>
  <si>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</si>
  <si>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</si>
  <si>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</si>
  <si>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</si>
  <si>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Frey building service equipment upgrades</t>
  </si>
  <si>
    <t xml:space="preserve">     Information system 2010</t>
  </si>
  <si>
    <t xml:space="preserve">      Miscellaneous parking lot repairs and improvements</t>
  </si>
  <si>
    <t xml:space="preserve"> Deposits - Facility Planning and Control:</t>
  </si>
  <si>
    <t xml:space="preserve">         Total deposits - Facility Planning and Control</t>
  </si>
  <si>
    <t xml:space="preserve">       PBS histopathology lab service center</t>
  </si>
  <si>
    <t xml:space="preserve">       Physics shop service center</t>
  </si>
  <si>
    <t>SFP</t>
  </si>
  <si>
    <t xml:space="preserve">     Union --</t>
  </si>
  <si>
    <t xml:space="preserve">       Various hall equipment, furniture and renovations</t>
  </si>
  <si>
    <t xml:space="preserve">     Union renovations</t>
  </si>
  <si>
    <t xml:space="preserve">     Emergency operations center equipment</t>
  </si>
  <si>
    <t xml:space="preserve">     Capital outlay projects</t>
  </si>
  <si>
    <t xml:space="preserve">     Tiger stadium repairs</t>
  </si>
  <si>
    <t xml:space="preserve">       Gene probes and expression lab service center</t>
  </si>
  <si>
    <t xml:space="preserve">     Facility services computer equipment and software</t>
  </si>
  <si>
    <t xml:space="preserve">       Pentagon halls  </t>
  </si>
  <si>
    <t xml:space="preserve">     Thomas Boyd hall renovations</t>
  </si>
  <si>
    <t xml:space="preserve">     Business education complex</t>
  </si>
  <si>
    <t>ANALYSIS E</t>
  </si>
  <si>
    <t>Analysis of Changes In Unexpended Plant Fund Balances</t>
  </si>
  <si>
    <t xml:space="preserve">     University Auxiliary Services --</t>
  </si>
  <si>
    <t xml:space="preserve">     Hatcher hall renovations</t>
  </si>
  <si>
    <t xml:space="preserve">       Tiger card office renovations</t>
  </si>
  <si>
    <t xml:space="preserve">       The Five dining hall renovations</t>
  </si>
  <si>
    <t xml:space="preserve">       459 dining hall renovations</t>
  </si>
  <si>
    <t xml:space="preserve">       Parking garage</t>
  </si>
  <si>
    <t xml:space="preserve">       Union theatre renovations</t>
  </si>
  <si>
    <t xml:space="preserve">       East Laville honors college</t>
  </si>
  <si>
    <t xml:space="preserve">     2010 bond issue -</t>
  </si>
  <si>
    <t xml:space="preserve">     2007 bond issue -</t>
  </si>
  <si>
    <t xml:space="preserve">     The 5 dining hall</t>
  </si>
  <si>
    <t xml:space="preserve">       Maintenance and risk reserve</t>
  </si>
  <si>
    <t xml:space="preserve">     Child care center reserve</t>
  </si>
  <si>
    <t xml:space="preserve">     Lifecycle replacements and improvements</t>
  </si>
  <si>
    <t xml:space="preserve">     Enterprise resource planning project</t>
  </si>
  <si>
    <t xml:space="preserve">     Public safety </t>
  </si>
  <si>
    <t xml:space="preserve">     Child care center</t>
  </si>
  <si>
    <t xml:space="preserve">       Annie Boyd hall renovation</t>
  </si>
  <si>
    <t xml:space="preserve">       New residence hall</t>
  </si>
  <si>
    <t xml:space="preserve">     Laboratory school </t>
  </si>
  <si>
    <t xml:space="preserve">     University recreation facility maintenance</t>
  </si>
  <si>
    <t xml:space="preserve">       Kirby Smith hall</t>
  </si>
  <si>
    <t xml:space="preserve">     Student health center</t>
  </si>
  <si>
    <t xml:space="preserve">       Tiger lair renovations</t>
  </si>
  <si>
    <t xml:space="preserve">     Athletic facilities</t>
  </si>
  <si>
    <t xml:space="preserve">       System software</t>
  </si>
  <si>
    <t xml:space="preserve">       Old President's house </t>
  </si>
  <si>
    <t xml:space="preserve">     Old engineering shop renovation</t>
  </si>
  <si>
    <t xml:space="preserve">     Parking, traffic, and transportation --</t>
  </si>
  <si>
    <t xml:space="preserve">     2013 bond issue -</t>
  </si>
  <si>
    <t xml:space="preserve">       Cypress hall</t>
  </si>
  <si>
    <t xml:space="preserve">       Evangeline hall renovation</t>
  </si>
  <si>
    <t xml:space="preserve">       University recreation expansion</t>
  </si>
  <si>
    <t xml:space="preserve">     High performance computing infrastructure</t>
  </si>
  <si>
    <t xml:space="preserve">       West Lakeshore house</t>
  </si>
  <si>
    <t xml:space="preserve">       Bookstore renovation</t>
  </si>
  <si>
    <t xml:space="preserve">       Career center furniture and technology</t>
  </si>
  <si>
    <t xml:space="preserve">       Exterior renovations</t>
  </si>
  <si>
    <t xml:space="preserve">       Vehicles</t>
  </si>
  <si>
    <t xml:space="preserve">     NCAM reserve</t>
  </si>
  <si>
    <t xml:space="preserve">     Campus relocation</t>
  </si>
  <si>
    <t xml:space="preserve">     Property insurance reserve</t>
  </si>
  <si>
    <t xml:space="preserve">     Worker's compensation reserve</t>
  </si>
  <si>
    <t xml:space="preserve">     French house renovation</t>
  </si>
  <si>
    <t xml:space="preserve">     University Recreation complex</t>
  </si>
  <si>
    <t xml:space="preserve">       New Greek house</t>
  </si>
  <si>
    <t xml:space="preserve">     Patrick F. Taylor renovations for engineering</t>
  </si>
  <si>
    <t xml:space="preserve">       Coastal studies institute field and lab service center</t>
  </si>
  <si>
    <t xml:space="preserve">       SEC Network</t>
  </si>
  <si>
    <t xml:space="preserve">     Campus enhancements</t>
  </si>
  <si>
    <t xml:space="preserve">     New faculty equipment and renovations</t>
  </si>
  <si>
    <t xml:space="preserve">       Enrollment management</t>
  </si>
  <si>
    <t xml:space="preserve">     New Greek house</t>
  </si>
  <si>
    <t xml:space="preserve">       Shared instrument facility</t>
  </si>
  <si>
    <t xml:space="preserve"> Maintenance Reserves:</t>
  </si>
  <si>
    <t xml:space="preserve">     Alex box</t>
  </si>
  <si>
    <t xml:space="preserve">     Basketball practice facility</t>
  </si>
  <si>
    <t xml:space="preserve">     Bernie Moore track stadium</t>
  </si>
  <si>
    <t xml:space="preserve">     Blake hall</t>
  </si>
  <si>
    <t xml:space="preserve">     East Laville</t>
  </si>
  <si>
    <t xml:space="preserve">     Lab School elementary wing</t>
  </si>
  <si>
    <t xml:space="preserve">     Residential college</t>
  </si>
  <si>
    <t xml:space="preserve">     Restricted streets</t>
  </si>
  <si>
    <t xml:space="preserve">     Rural life museum visitor center</t>
  </si>
  <si>
    <t xml:space="preserve">     South stadium parking lot</t>
  </si>
  <si>
    <t xml:space="preserve">     Tiger band hall</t>
  </si>
  <si>
    <t xml:space="preserve">     Tiger gift center</t>
  </si>
  <si>
    <t xml:space="preserve">     Tiger park</t>
  </si>
  <si>
    <t xml:space="preserve">     Union</t>
  </si>
  <si>
    <t xml:space="preserve">     University recreation </t>
  </si>
  <si>
    <t xml:space="preserve">     University recreation fields</t>
  </si>
  <si>
    <t xml:space="preserve">     West campus apartments</t>
  </si>
  <si>
    <t xml:space="preserve">     West Laville</t>
  </si>
  <si>
    <t xml:space="preserve">     X174 parking lot</t>
  </si>
  <si>
    <t xml:space="preserve">     624 parking lot</t>
  </si>
  <si>
    <t xml:space="preserve">         Total maintenance reserves</t>
  </si>
  <si>
    <t xml:space="preserve">     Patrick Taylor hall renovations</t>
  </si>
  <si>
    <t xml:space="preserve">     New Greek House</t>
  </si>
  <si>
    <t xml:space="preserve">     Golf course improvements</t>
  </si>
  <si>
    <t xml:space="preserve">     Hilltop arboretum</t>
  </si>
  <si>
    <t xml:space="preserve">       Total State Facility Planning and Control</t>
  </si>
  <si>
    <t xml:space="preserve">       Infrastructure as a service and storage</t>
  </si>
  <si>
    <t xml:space="preserve">     Veterinary medicine linear accelerator vault</t>
  </si>
  <si>
    <t xml:space="preserve">     Family housing</t>
  </si>
  <si>
    <t xml:space="preserve">     University expansion</t>
  </si>
  <si>
    <t xml:space="preserve">     Annie Boyd hall</t>
  </si>
  <si>
    <t xml:space="preserve">     Easy streets</t>
  </si>
  <si>
    <t xml:space="preserve">     Parking garage</t>
  </si>
  <si>
    <t xml:space="preserve">     Band hall fencing</t>
  </si>
  <si>
    <t xml:space="preserve">     Campus master plan</t>
  </si>
  <si>
    <t xml:space="preserve">       West campus apartments</t>
  </si>
  <si>
    <t xml:space="preserve">     Natatorium renovations and repairs</t>
  </si>
  <si>
    <t xml:space="preserve">       Frey fire suppression system</t>
  </si>
  <si>
    <t xml:space="preserve">     Dalrymple drive gateway signage</t>
  </si>
  <si>
    <t xml:space="preserve">     Health plan benefit administration system</t>
  </si>
  <si>
    <t xml:space="preserve">     JCI settlement</t>
  </si>
  <si>
    <t xml:space="preserve">     Maddox field house</t>
  </si>
  <si>
    <t xml:space="preserve">       Alex Box stadium</t>
  </si>
  <si>
    <t xml:space="preserve">       Football practice field</t>
  </si>
  <si>
    <t xml:space="preserve">       Volleyball locker room</t>
  </si>
  <si>
    <t xml:space="preserve">     Burden bridge replacement</t>
  </si>
  <si>
    <t xml:space="preserve">       Laville hall</t>
  </si>
  <si>
    <t xml:space="preserve">       Warehouse</t>
  </si>
  <si>
    <t xml:space="preserve">       Technology upgrades</t>
  </si>
  <si>
    <t xml:space="preserve">     Union renovation </t>
  </si>
  <si>
    <t xml:space="preserve">     Kirby Smith reuse</t>
  </si>
  <si>
    <t xml:space="preserve">     Tiger stadium field</t>
  </si>
  <si>
    <t xml:space="preserve">     Cooling tower</t>
  </si>
  <si>
    <t xml:space="preserve">     Veterinary medicine classroom renovation</t>
  </si>
  <si>
    <t xml:space="preserve">     Veterinary medicine laboratory renovation</t>
  </si>
  <si>
    <t xml:space="preserve">     Tiger park indoor batting facility</t>
  </si>
  <si>
    <t xml:space="preserve">     Natatorium roof replacement</t>
  </si>
  <si>
    <t xml:space="preserve">     Beach volleyball facility</t>
  </si>
  <si>
    <t xml:space="preserve">     Assembly center mechanical system upgrade</t>
  </si>
  <si>
    <t xml:space="preserve">     Student health center roof</t>
  </si>
  <si>
    <t xml:space="preserve">     Cypress hall</t>
  </si>
  <si>
    <t xml:space="preserve">     Paul M. Hebert Law Center</t>
  </si>
  <si>
    <t xml:space="preserve">       Atrium upgrade</t>
  </si>
  <si>
    <t xml:space="preserve">       Energy law renovation</t>
  </si>
  <si>
    <t xml:space="preserve">       Restroom renovation</t>
  </si>
  <si>
    <t xml:space="preserve">     Casualty insurance reserve</t>
  </si>
  <si>
    <t xml:space="preserve">     Athletics NCAA distribution</t>
  </si>
  <si>
    <t xml:space="preserve">     CAMD roof replacement</t>
  </si>
  <si>
    <t xml:space="preserve">     Campus addressing project</t>
  </si>
  <si>
    <t xml:space="preserve">     Cogen generator overhaul</t>
  </si>
  <si>
    <t xml:space="preserve">     Connection to BR sewer</t>
  </si>
  <si>
    <t xml:space="preserve">     Dairy abatement and domolition</t>
  </si>
  <si>
    <t xml:space="preserve">       Annie Boyd hall</t>
  </si>
  <si>
    <t xml:space="preserve">     River modeling signage</t>
  </si>
  <si>
    <t xml:space="preserve">     Visitor center renovation</t>
  </si>
  <si>
    <t xml:space="preserve">     Middleton library basement waterproofing</t>
  </si>
  <si>
    <t xml:space="preserve">     Restroom signage</t>
  </si>
  <si>
    <t xml:space="preserve">     Civil reconstruction of storm system - Atkinson</t>
  </si>
  <si>
    <t xml:space="preserve">     Electrical engineering transformer replacement</t>
  </si>
  <si>
    <t>For the year ended June 30, 2018</t>
  </si>
  <si>
    <t>PJ0000079</t>
  </si>
  <si>
    <t>PJ000080</t>
  </si>
  <si>
    <t>PJ000081</t>
  </si>
  <si>
    <t>PJ000083</t>
  </si>
  <si>
    <t>PJ000086</t>
  </si>
  <si>
    <t>PJ000087</t>
  </si>
  <si>
    <t>PJ000088</t>
  </si>
  <si>
    <t>PJ000091</t>
  </si>
  <si>
    <t>PJ000093</t>
  </si>
  <si>
    <t>PJ000094</t>
  </si>
  <si>
    <t>PJ000097</t>
  </si>
  <si>
    <t xml:space="preserve">       Division of laboratory animal medicine farm operations</t>
  </si>
  <si>
    <t>PJ000098</t>
  </si>
  <si>
    <t>PJ000099</t>
  </si>
  <si>
    <t>PJ000100</t>
  </si>
  <si>
    <t>PJ000102</t>
  </si>
  <si>
    <t>PJ000103</t>
  </si>
  <si>
    <t>PJ000104</t>
  </si>
  <si>
    <t>PJ000108</t>
  </si>
  <si>
    <t>PJ000109</t>
  </si>
  <si>
    <t>PJ000112</t>
  </si>
  <si>
    <t>PJ000113</t>
  </si>
  <si>
    <t>PJ000114</t>
  </si>
  <si>
    <t xml:space="preserve">     University recreation complex</t>
  </si>
  <si>
    <t>PJ000120</t>
  </si>
  <si>
    <t>PJ000121</t>
  </si>
  <si>
    <t xml:space="preserve">       Satellite facility</t>
  </si>
  <si>
    <t>PJ000122</t>
  </si>
  <si>
    <t>PJ000127</t>
  </si>
  <si>
    <t>PJ000128</t>
  </si>
  <si>
    <t>PJ000132</t>
  </si>
  <si>
    <t>PJ000133</t>
  </si>
  <si>
    <t>PJ000137</t>
  </si>
  <si>
    <t>PJ000138</t>
  </si>
  <si>
    <t>PJ000141</t>
  </si>
  <si>
    <t>PJ000142</t>
  </si>
  <si>
    <t>PJ000143</t>
  </si>
  <si>
    <t>PJ000145</t>
  </si>
  <si>
    <t>PJ000148</t>
  </si>
  <si>
    <t>PJ000149</t>
  </si>
  <si>
    <t>PJ000150</t>
  </si>
  <si>
    <t>PJ000154</t>
  </si>
  <si>
    <t>PJ000156</t>
  </si>
  <si>
    <t>PJ000159</t>
  </si>
  <si>
    <t>PJ000161</t>
  </si>
  <si>
    <t>PJ000162</t>
  </si>
  <si>
    <t>PJ000163</t>
  </si>
  <si>
    <t>PJ000168</t>
  </si>
  <si>
    <t>PJ000169</t>
  </si>
  <si>
    <t>PJ000171</t>
  </si>
  <si>
    <t>PJ000176</t>
  </si>
  <si>
    <t>PJ000177</t>
  </si>
  <si>
    <t>PJ000180</t>
  </si>
  <si>
    <t>PJ000210</t>
  </si>
  <si>
    <t>PJ000219</t>
  </si>
  <si>
    <t>PJ000220</t>
  </si>
  <si>
    <t>PJ000233</t>
  </si>
  <si>
    <t>PJ000260</t>
  </si>
  <si>
    <t>PJ000291</t>
  </si>
  <si>
    <t>PJ000307</t>
  </si>
  <si>
    <t>PJ000241</t>
  </si>
  <si>
    <t>PJ000295</t>
  </si>
  <si>
    <t>PJ000303</t>
  </si>
  <si>
    <t>PJ000304</t>
  </si>
  <si>
    <t>PJ000313</t>
  </si>
  <si>
    <t>PJ000314</t>
  </si>
  <si>
    <t>PJ000315</t>
  </si>
  <si>
    <t>PJ000322</t>
  </si>
  <si>
    <t>PJ000335</t>
  </si>
  <si>
    <t>PJ000339</t>
  </si>
  <si>
    <t>PJ000340</t>
  </si>
  <si>
    <t>PJ000351</t>
  </si>
  <si>
    <t>PJ000354</t>
  </si>
  <si>
    <t>PJ000359</t>
  </si>
  <si>
    <t>PJ000571</t>
  </si>
  <si>
    <t>PJ000550</t>
  </si>
  <si>
    <t>PJ000199</t>
  </si>
  <si>
    <t>PJ000201</t>
  </si>
  <si>
    <t>PJ000208</t>
  </si>
  <si>
    <t>PJ000209</t>
  </si>
  <si>
    <t>PJ000442</t>
  </si>
  <si>
    <t>PJ000443</t>
  </si>
  <si>
    <t>PJ000532</t>
  </si>
  <si>
    <t>PJ000534</t>
  </si>
  <si>
    <t>PJ000249</t>
  </si>
  <si>
    <t>PJ000261</t>
  </si>
  <si>
    <t>PJ000268</t>
  </si>
  <si>
    <t>PJ000345</t>
  </si>
  <si>
    <t>PJ000476</t>
  </si>
  <si>
    <t>PJ000486</t>
  </si>
  <si>
    <t>PJ000487</t>
  </si>
  <si>
    <t>PJ000488</t>
  </si>
  <si>
    <t>PJ000497</t>
  </si>
  <si>
    <t>PJ000519</t>
  </si>
  <si>
    <t>PJ000555</t>
  </si>
  <si>
    <t>PJ000566</t>
  </si>
  <si>
    <t xml:space="preserve">     Memorial tower</t>
  </si>
  <si>
    <t>PJ000580</t>
  </si>
  <si>
    <t xml:space="preserve">     Stephenson veterinary hospital</t>
  </si>
  <si>
    <t>PJ000581</t>
  </si>
  <si>
    <t xml:space="preserve">     Evangeline hall</t>
  </si>
  <si>
    <t>PJ000587</t>
  </si>
  <si>
    <t>PJ000648</t>
  </si>
  <si>
    <t>PJ000432</t>
  </si>
  <si>
    <t>PJ000337</t>
  </si>
  <si>
    <t>PJ000572</t>
  </si>
  <si>
    <t>PJ000105</t>
  </si>
  <si>
    <t>PJ000374</t>
  </si>
  <si>
    <t>PJ000373</t>
  </si>
  <si>
    <t xml:space="preserve">     Stephenson Veterinary Hospital</t>
  </si>
  <si>
    <t xml:space="preserve">     Memorial Tower renovation</t>
  </si>
  <si>
    <t xml:space="preserve">     Evangeline Hall abatement</t>
  </si>
  <si>
    <t xml:space="preserve">     Music and dramatic arts facility</t>
  </si>
  <si>
    <t xml:space="preserve">     Honors college</t>
  </si>
  <si>
    <t>PJ000660</t>
  </si>
  <si>
    <t xml:space="preserve">       Blake hall</t>
  </si>
  <si>
    <t>PJ000657</t>
  </si>
  <si>
    <t>PJ000655</t>
  </si>
  <si>
    <t>PJ000654</t>
  </si>
  <si>
    <t>PJ000653</t>
  </si>
  <si>
    <t>PJ000649</t>
  </si>
  <si>
    <t>PJ000646</t>
  </si>
  <si>
    <t>PJ000645</t>
  </si>
  <si>
    <t>PJ000644</t>
  </si>
  <si>
    <t xml:space="preserve">       Soccer stadium</t>
  </si>
  <si>
    <t>PJ000643</t>
  </si>
  <si>
    <t>PJ000642</t>
  </si>
  <si>
    <t>PJ000641</t>
  </si>
  <si>
    <t xml:space="preserve">     PERTT lab</t>
  </si>
  <si>
    <t>PJ000640</t>
  </si>
  <si>
    <t>PJ000639</t>
  </si>
  <si>
    <t>PJ000636</t>
  </si>
  <si>
    <t>PJ000635</t>
  </si>
  <si>
    <t>PJ000634</t>
  </si>
  <si>
    <t>PJ000633</t>
  </si>
  <si>
    <t>PJ000632</t>
  </si>
  <si>
    <t>PJ000631</t>
  </si>
  <si>
    <t>PJ000630</t>
  </si>
  <si>
    <t>PJ000629</t>
  </si>
  <si>
    <t>PJ000628</t>
  </si>
  <si>
    <t>PJ000627</t>
  </si>
  <si>
    <t>PJ000626</t>
  </si>
  <si>
    <t>PJ000625</t>
  </si>
  <si>
    <t>PJ000621</t>
  </si>
  <si>
    <t>PJ000605</t>
  </si>
  <si>
    <t xml:space="preserve">     Foster hall</t>
  </si>
  <si>
    <t>PJ000604</t>
  </si>
  <si>
    <t>PJ000602</t>
  </si>
  <si>
    <t>PJ000601</t>
  </si>
  <si>
    <t xml:space="preserve">     Hilltop pedestrian bridge</t>
  </si>
  <si>
    <t>PJ000600</t>
  </si>
  <si>
    <t xml:space="preserve">     Hill Memorial Library</t>
  </si>
  <si>
    <t>PJ000599</t>
  </si>
  <si>
    <t xml:space="preserve">     Geology building</t>
  </si>
  <si>
    <t>PJ000598</t>
  </si>
  <si>
    <t xml:space="preserve">     Dodson hall</t>
  </si>
  <si>
    <t>PJ000597</t>
  </si>
  <si>
    <t xml:space="preserve">     Design building</t>
  </si>
  <si>
    <t>PJ000596</t>
  </si>
  <si>
    <t xml:space="preserve">     Olinde career center</t>
  </si>
  <si>
    <t>PJ000595</t>
  </si>
  <si>
    <t>PJ000593</t>
  </si>
  <si>
    <t>PJ000591</t>
  </si>
  <si>
    <t xml:space="preserve">     Choppin hall </t>
  </si>
  <si>
    <t>PJ000589</t>
  </si>
  <si>
    <t>PJ000586</t>
  </si>
  <si>
    <t>PJ000585</t>
  </si>
  <si>
    <t>PJ000579</t>
  </si>
  <si>
    <t>PJ000567</t>
  </si>
  <si>
    <t>PJ000565</t>
  </si>
  <si>
    <t>PJ000564</t>
  </si>
  <si>
    <t>PJ000563</t>
  </si>
  <si>
    <t>PJ000556</t>
  </si>
  <si>
    <t>PJ000551</t>
  </si>
  <si>
    <t>PJ000548</t>
  </si>
  <si>
    <t>PJ000545</t>
  </si>
  <si>
    <t>PJ000460</t>
  </si>
  <si>
    <t>PJ000471</t>
  </si>
  <si>
    <t>PJ000082</t>
  </si>
  <si>
    <t>PJ000084</t>
  </si>
  <si>
    <t>PJ000085</t>
  </si>
  <si>
    <t>PJ000110</t>
  </si>
  <si>
    <t>PJ000111</t>
  </si>
  <si>
    <t>PJ000115</t>
  </si>
  <si>
    <t>PJ000116</t>
  </si>
  <si>
    <t>PJ000178</t>
  </si>
  <si>
    <t>PJ000179</t>
  </si>
  <si>
    <t>PJ000436</t>
  </si>
  <si>
    <t>PJ000533</t>
  </si>
  <si>
    <t>PJ000190</t>
  </si>
  <si>
    <t>PJ000191</t>
  </si>
  <si>
    <t>PJ000192</t>
  </si>
  <si>
    <t>PJ000193</t>
  </si>
  <si>
    <t>PJ000552</t>
  </si>
  <si>
    <t>PJ000203</t>
  </si>
  <si>
    <t>PJ000204</t>
  </si>
  <si>
    <t>PJ000441</t>
  </si>
  <si>
    <t>PJ000553</t>
  </si>
  <si>
    <t>PJ000554</t>
  </si>
  <si>
    <t>PJ000372</t>
  </si>
  <si>
    <t>PJ000170</t>
  </si>
  <si>
    <t>PJ000147</t>
  </si>
  <si>
    <t>PJ000433</t>
  </si>
  <si>
    <t>PJ000542</t>
  </si>
  <si>
    <t>PJ000458</t>
  </si>
  <si>
    <t>PJ000342</t>
  </si>
  <si>
    <t>PJ000459</t>
  </si>
  <si>
    <t>PJ000343</t>
  </si>
  <si>
    <t>PJ000457</t>
  </si>
  <si>
    <t>PJ000329</t>
  </si>
  <si>
    <t>PJ000330</t>
  </si>
  <si>
    <t>PJ000358</t>
  </si>
  <si>
    <t>PJ000336</t>
  </si>
  <si>
    <t>PJ000348</t>
  </si>
  <si>
    <t>PJ000477</t>
  </si>
  <si>
    <t>PJ000357</t>
  </si>
  <si>
    <t>PJ000353</t>
  </si>
  <si>
    <t>PJ000434</t>
  </si>
  <si>
    <t>PJ000524</t>
  </si>
  <si>
    <t>PJ000491</t>
  </si>
  <si>
    <t>PJ000134</t>
  </si>
  <si>
    <t>PJ000151</t>
  </si>
  <si>
    <t>PJ000538</t>
  </si>
  <si>
    <t>PJ000496</t>
  </si>
  <si>
    <t>PJ000492</t>
  </si>
  <si>
    <t>PJ000130</t>
  </si>
  <si>
    <t>PJ000302</t>
  </si>
  <si>
    <t>PJ000311</t>
  </si>
  <si>
    <t>PJ000543</t>
  </si>
  <si>
    <t>PJ000544</t>
  </si>
  <si>
    <t>PJ000174</t>
  </si>
  <si>
    <t>PJ000175</t>
  </si>
  <si>
    <t>PJ000245</t>
  </si>
  <si>
    <t>PJ000252</t>
  </si>
  <si>
    <t>PJ000526</t>
  </si>
  <si>
    <t>PJ000222</t>
  </si>
  <si>
    <t>PJ000253</t>
  </si>
  <si>
    <t>PJ000258</t>
  </si>
  <si>
    <t>PJ000448</t>
  </si>
  <si>
    <t>PJ000475</t>
  </si>
  <si>
    <t>PJ000438</t>
  </si>
  <si>
    <t>PJ000439</t>
  </si>
  <si>
    <t>PJ000235</t>
  </si>
  <si>
    <t>PJ000494</t>
  </si>
  <si>
    <t>PJ000290</t>
  </si>
  <si>
    <t>PJ000281</t>
  </si>
  <si>
    <t>PJ000287</t>
  </si>
  <si>
    <t>PJ000278</t>
  </si>
  <si>
    <t>PJ000279</t>
  </si>
  <si>
    <t>PJ000123</t>
  </si>
  <si>
    <t>PJ000117</t>
  </si>
  <si>
    <t>PJ000118</t>
  </si>
  <si>
    <t>PJ000119</t>
  </si>
  <si>
    <t>PJ000125</t>
  </si>
  <si>
    <t>PJ000126</t>
  </si>
  <si>
    <t>PJ000263</t>
  </si>
  <si>
    <t>PJ000266</t>
  </si>
  <si>
    <t>PJ000269</t>
  </si>
  <si>
    <t>PJ000270</t>
  </si>
  <si>
    <t>PJ000272</t>
  </si>
  <si>
    <t>PJ000259</t>
  </si>
  <si>
    <t>PJ000265</t>
  </si>
  <si>
    <t>PJ000185</t>
  </si>
  <si>
    <t>PJ000217</t>
  </si>
  <si>
    <t>PJ000444</t>
  </si>
  <si>
    <t>PJ000194</t>
  </si>
  <si>
    <t>PJ000181</t>
  </si>
  <si>
    <t xml:space="preserve">     Military science roof replacement</t>
  </si>
  <si>
    <t>PJ000246</t>
  </si>
  <si>
    <t>PJ000474</t>
  </si>
  <si>
    <t>PJ000435</t>
  </si>
  <si>
    <t>PJ000447</t>
  </si>
  <si>
    <t>PJ000205</t>
  </si>
  <si>
    <t>PJ000211</t>
  </si>
  <si>
    <t>PJ000236</t>
  </si>
  <si>
    <t>PJ000242-244</t>
  </si>
  <si>
    <t>PJ000445-446</t>
  </si>
  <si>
    <t>PJ000473</t>
  </si>
  <si>
    <t>PJ000525</t>
  </si>
  <si>
    <t>PJ000183-184</t>
  </si>
  <si>
    <t>PJ000155</t>
  </si>
  <si>
    <t>PJ000167</t>
  </si>
  <si>
    <t>PJ000129</t>
  </si>
  <si>
    <t>PJ000146</t>
  </si>
  <si>
    <t>PJ000152</t>
  </si>
  <si>
    <t>PJ000165</t>
  </si>
  <si>
    <t>PJ000135</t>
  </si>
  <si>
    <t>PJ000319</t>
  </si>
  <si>
    <t>PJ000324</t>
  </si>
  <si>
    <t>PJ000326</t>
  </si>
  <si>
    <t>PJ000452-455</t>
  </si>
  <si>
    <t>PJ000546-547</t>
  </si>
  <si>
    <t>PJ000225</t>
  </si>
  <si>
    <t>PJ000228</t>
  </si>
  <si>
    <t>PJ000231</t>
  </si>
  <si>
    <t>PJ000527</t>
  </si>
  <si>
    <t>PJ000153</t>
  </si>
  <si>
    <t>PJ000365</t>
  </si>
  <si>
    <t>PJ000366</t>
  </si>
  <si>
    <t>PJ000275</t>
  </si>
  <si>
    <t>PJ000280</t>
  </si>
  <si>
    <t>PJ000283-285</t>
  </si>
  <si>
    <t>PJ000288</t>
  </si>
  <si>
    <t>PJ000297-298</t>
  </si>
  <si>
    <t>PJ000300</t>
  </si>
  <si>
    <t>PJ000451</t>
  </si>
  <si>
    <t>PJ000489</t>
  </si>
  <si>
    <t>PJ000490</t>
  </si>
  <si>
    <t>PJ000493</t>
  </si>
  <si>
    <t>PJ000530-531</t>
  </si>
  <si>
    <t>PJ000541</t>
  </si>
  <si>
    <t>PJ000568-569</t>
  </si>
  <si>
    <t>PJ000364</t>
  </si>
  <si>
    <t>PJ000363</t>
  </si>
  <si>
    <t>PJ000361</t>
  </si>
  <si>
    <t>PJ000362</t>
  </si>
  <si>
    <t>PJ000140</t>
  </si>
  <si>
    <t>PJ000160</t>
  </si>
  <si>
    <t>PJ000428</t>
  </si>
  <si>
    <t>PJ000620</t>
  </si>
  <si>
    <t xml:space="preserve">     Energy, coast and environment building</t>
  </si>
  <si>
    <t xml:space="preserve">     Campus enhancement projects</t>
  </si>
  <si>
    <t xml:space="preserve">     Enterprise resource planning</t>
  </si>
  <si>
    <t xml:space="preserve">     University recreation technology initiative</t>
  </si>
  <si>
    <t>PJ000530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</si>
</sst>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  <numFmt numFmtId="170" formatCode="d\-mmm\-yyyy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9"/>
      <color indexed="62"/>
      <name val="Calibri"/>
      <family val="2"/>
    </font>
    <font>
      <sz val="9"/>
      <name val="Calibri"/>
      <family val="2"/>
    </font>
    <font>
      <b/>
      <sz val="12"/>
      <color indexed="62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Calibri"/>
      <family val="2"/>
    </font>
    <font>
      <b/>
      <sz val="11"/>
      <color rgb="FF461D7C"/>
      <name val="Calibri"/>
      <family val="2"/>
    </font>
    <font>
      <sz val="11"/>
      <color rgb="FF461D7C"/>
      <name val="Calibri"/>
      <family val="2"/>
    </font>
    <font>
      <b/>
      <sz val="9"/>
      <color rgb="FF461D7C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461D7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4" fontId="43" fillId="0" borderId="0" xfId="44" applyNumberFormat="1" applyFont="1" applyAlignment="1" applyProtection="1">
      <alignment vertical="center"/>
      <protection/>
    </xf>
    <xf numFmtId="0" fontId="19" fillId="0" borderId="0" xfId="0" applyFont="1" applyAlignment="1">
      <alignment/>
    </xf>
    <xf numFmtId="43" fontId="20" fillId="0" borderId="0" xfId="42" applyFont="1" applyFill="1" applyAlignment="1">
      <alignment/>
    </xf>
    <xf numFmtId="164" fontId="20" fillId="0" borderId="0" xfId="42" applyNumberFormat="1" applyFont="1" applyFill="1" applyAlignment="1">
      <alignment horizontal="center"/>
    </xf>
    <xf numFmtId="164" fontId="20" fillId="0" borderId="0" xfId="42" applyNumberFormat="1" applyFont="1" applyFill="1" applyAlignment="1">
      <alignment/>
    </xf>
    <xf numFmtId="0" fontId="20" fillId="0" borderId="0" xfId="0" applyFont="1" applyAlignment="1">
      <alignment/>
    </xf>
    <xf numFmtId="164" fontId="44" fillId="0" borderId="0" xfId="44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164" fontId="46" fillId="0" borderId="0" xfId="44" applyNumberFormat="1" applyFont="1" applyFill="1" applyBorder="1" applyAlignment="1" applyProtection="1">
      <alignment vertical="center"/>
      <protection/>
    </xf>
    <xf numFmtId="164" fontId="46" fillId="0" borderId="0" xfId="44" applyNumberFormat="1" applyFont="1" applyFill="1" applyBorder="1" applyAlignment="1" applyProtection="1">
      <alignment horizontal="center" vertical="center"/>
      <protection/>
    </xf>
    <xf numFmtId="164" fontId="22" fillId="0" borderId="0" xfId="42" applyNumberFormat="1" applyFont="1" applyAlignment="1" applyProtection="1">
      <alignment vertical="center"/>
      <protection/>
    </xf>
    <xf numFmtId="164" fontId="19" fillId="0" borderId="0" xfId="42" applyNumberFormat="1" applyFont="1" applyFill="1" applyAlignment="1" applyProtection="1">
      <alignment vertical="center"/>
      <protection/>
    </xf>
    <xf numFmtId="169" fontId="19" fillId="0" borderId="10" xfId="42" applyNumberFormat="1" applyFont="1" applyFill="1" applyBorder="1" applyAlignment="1" applyProtection="1">
      <alignment horizontal="center" vertical="center"/>
      <protection/>
    </xf>
    <xf numFmtId="164" fontId="19" fillId="0" borderId="0" xfId="42" applyNumberFormat="1" applyFont="1" applyFill="1" applyBorder="1" applyAlignment="1" applyProtection="1">
      <alignment vertical="center"/>
      <protection/>
    </xf>
    <xf numFmtId="164" fontId="19" fillId="0" borderId="10" xfId="4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19" fillId="0" borderId="0" xfId="42" applyNumberFormat="1" applyFont="1" applyFill="1" applyAlignment="1" applyProtection="1">
      <alignment horizontal="center" vertical="center"/>
      <protection/>
    </xf>
    <xf numFmtId="165" fontId="19" fillId="0" borderId="0" xfId="45" applyNumberFormat="1" applyFont="1" applyFill="1" applyAlignment="1" applyProtection="1">
      <alignment vertical="center"/>
      <protection/>
    </xf>
    <xf numFmtId="164" fontId="19" fillId="0" borderId="11" xfId="42" applyNumberFormat="1" applyFont="1" applyFill="1" applyBorder="1" applyAlignment="1" applyProtection="1">
      <alignment vertical="center"/>
      <protection/>
    </xf>
    <xf numFmtId="43" fontId="20" fillId="6" borderId="0" xfId="42" applyFont="1" applyFill="1" applyAlignment="1">
      <alignment/>
    </xf>
    <xf numFmtId="164" fontId="20" fillId="6" borderId="0" xfId="42" applyNumberFormat="1" applyFont="1" applyFill="1" applyAlignment="1">
      <alignment horizontal="center"/>
    </xf>
    <xf numFmtId="164" fontId="20" fillId="24" borderId="0" xfId="42" applyNumberFormat="1" applyFont="1" applyFill="1" applyAlignment="1">
      <alignment horizontal="center"/>
    </xf>
    <xf numFmtId="164" fontId="19" fillId="0" borderId="12" xfId="42" applyNumberFormat="1" applyFont="1" applyFill="1" applyBorder="1" applyAlignment="1" applyProtection="1">
      <alignment vertical="center"/>
      <protection/>
    </xf>
    <xf numFmtId="164" fontId="20" fillId="13" borderId="0" xfId="42" applyNumberFormat="1" applyFont="1" applyFill="1" applyAlignment="1">
      <alignment horizontal="center"/>
    </xf>
    <xf numFmtId="43" fontId="20" fillId="0" borderId="0" xfId="42" applyFont="1" applyFill="1" applyBorder="1" applyAlignment="1">
      <alignment/>
    </xf>
    <xf numFmtId="164" fontId="19" fillId="0" borderId="12" xfId="45" applyNumberFormat="1" applyFont="1" applyFill="1" applyBorder="1" applyAlignment="1" applyProtection="1">
      <alignment vertical="center"/>
      <protection/>
    </xf>
    <xf numFmtId="37" fontId="19" fillId="0" borderId="12" xfId="45" applyNumberFormat="1" applyFont="1" applyFill="1" applyBorder="1" applyAlignment="1" applyProtection="1">
      <alignment vertical="center"/>
      <protection/>
    </xf>
    <xf numFmtId="164" fontId="20" fillId="33" borderId="0" xfId="42" applyNumberFormat="1" applyFont="1" applyFill="1" applyAlignment="1">
      <alignment horizontal="center"/>
    </xf>
    <xf numFmtId="43" fontId="20" fillId="0" borderId="0" xfId="42" applyNumberFormat="1" applyFont="1" applyFill="1" applyBorder="1" applyAlignment="1" applyProtection="1">
      <alignment vertical="center"/>
      <protection/>
    </xf>
    <xf numFmtId="43" fontId="20" fillId="13" borderId="0" xfId="42" applyFont="1" applyFill="1" applyAlignment="1">
      <alignment horizontal="center"/>
    </xf>
    <xf numFmtId="165" fontId="19" fillId="0" borderId="13" xfId="45" applyNumberFormat="1" applyFont="1" applyFill="1" applyBorder="1" applyAlignment="1" applyProtection="1">
      <alignment vertical="center"/>
      <protection/>
    </xf>
    <xf numFmtId="164" fontId="19" fillId="0" borderId="0" xfId="42" applyNumberFormat="1" applyFont="1" applyFill="1" applyAlignment="1" applyProtection="1">
      <alignment horizontal="right" vertical="center"/>
      <protection/>
    </xf>
    <xf numFmtId="164" fontId="19" fillId="0" borderId="10" xfId="42" applyNumberFormat="1" applyFont="1" applyFill="1" applyBorder="1" applyAlignment="1" applyProtection="1">
      <alignment vertical="center"/>
      <protection/>
    </xf>
    <xf numFmtId="164" fontId="19" fillId="0" borderId="14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164" fontId="22" fillId="0" borderId="0" xfId="42" applyNumberFormat="1" applyFont="1" applyFill="1" applyAlignment="1" applyProtection="1">
      <alignment vertical="center"/>
      <protection/>
    </xf>
    <xf numFmtId="164" fontId="22" fillId="0" borderId="0" xfId="42" applyNumberFormat="1" applyFont="1" applyFill="1" applyAlignment="1" applyProtection="1">
      <alignment horizontal="right" vertical="center"/>
      <protection/>
    </xf>
    <xf numFmtId="43" fontId="20" fillId="0" borderId="0" xfId="42" applyFont="1" applyFill="1" applyAlignment="1">
      <alignment horizontal="center"/>
    </xf>
    <xf numFmtId="164" fontId="20" fillId="10" borderId="0" xfId="42" applyNumberFormat="1" applyFont="1" applyFill="1" applyAlignment="1">
      <alignment horizontal="center"/>
    </xf>
    <xf numFmtId="164" fontId="20" fillId="10" borderId="0" xfId="42" applyNumberFormat="1" applyFont="1" applyFill="1" applyAlignment="1">
      <alignment/>
    </xf>
    <xf numFmtId="43" fontId="20" fillId="10" borderId="0" xfId="42" applyFont="1" applyFill="1" applyAlignment="1">
      <alignment horizontal="center"/>
    </xf>
    <xf numFmtId="43" fontId="20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43" fontId="20" fillId="0" borderId="0" xfId="42" applyFont="1" applyAlignment="1">
      <alignment horizontal="center"/>
    </xf>
    <xf numFmtId="0" fontId="20" fillId="0" borderId="0" xfId="0" applyFont="1" applyFill="1" applyAlignment="1">
      <alignment horizontal="center"/>
    </xf>
    <xf numFmtId="43" fontId="20" fillId="33" borderId="0" xfId="0" applyNumberFormat="1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43" fontId="20" fillId="0" borderId="0" xfId="42" applyFont="1" applyFill="1" applyAlignment="1">
      <alignment horizontal="center"/>
    </xf>
    <xf numFmtId="43" fontId="20" fillId="24" borderId="0" xfId="42" applyFont="1" applyFill="1" applyAlignment="1">
      <alignment horizontal="center"/>
    </xf>
    <xf numFmtId="43" fontId="20" fillId="10" borderId="0" xfId="42" applyFont="1" applyFill="1" applyAlignment="1">
      <alignment/>
    </xf>
    <xf numFmtId="164" fontId="47" fillId="10" borderId="0" xfId="42" applyNumberFormat="1" applyFont="1" applyFill="1" applyAlignment="1">
      <alignment horizontal="center"/>
    </xf>
    <xf numFmtId="164" fontId="47" fillId="24" borderId="0" xfId="42" applyNumberFormat="1" applyFont="1" applyFill="1" applyAlignment="1">
      <alignment horizontal="center"/>
    </xf>
    <xf numFmtId="43" fontId="48" fillId="0" borderId="0" xfId="42" applyFont="1" applyFill="1" applyAlignment="1">
      <alignment/>
    </xf>
    <xf numFmtId="164" fontId="47" fillId="25" borderId="0" xfId="42" applyNumberFormat="1" applyFont="1" applyFill="1" applyAlignment="1">
      <alignment horizontal="center"/>
    </xf>
    <xf numFmtId="164" fontId="47" fillId="6" borderId="0" xfId="42" applyNumberFormat="1" applyFont="1" applyFill="1" applyAlignment="1">
      <alignment horizontal="center"/>
    </xf>
    <xf numFmtId="43" fontId="47" fillId="10" borderId="0" xfId="42" applyFont="1" applyFill="1" applyAlignment="1">
      <alignment horizontal="center"/>
    </xf>
    <xf numFmtId="43" fontId="20" fillId="22" borderId="0" xfId="42" applyFont="1" applyFill="1" applyAlignment="1">
      <alignment/>
    </xf>
    <xf numFmtId="164" fontId="49" fillId="0" borderId="0" xfId="44" applyNumberFormat="1" applyFont="1" applyFill="1" applyBorder="1" applyAlignment="1" applyProtection="1">
      <alignment horizontal="center" vertical="center"/>
      <protection/>
    </xf>
    <xf numFmtId="164" fontId="43" fillId="0" borderId="0" xfId="44" applyNumberFormat="1" applyFont="1" applyAlignment="1" applyProtection="1">
      <alignment horizontal="center" vertical="center"/>
      <protection/>
    </xf>
    <xf numFmtId="43" fontId="20" fillId="0" borderId="0" xfId="42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2"/>
  <sheetViews>
    <sheetView tabSelected="1" zoomScaleSheetLayoutView="100" zoomScalePageLayoutView="0" workbookViewId="0" topLeftCell="A235">
      <selection activeCell="F253" sqref="F253"/>
    </sheetView>
  </sheetViews>
  <sheetFormatPr defaultColWidth="9.140625" defaultRowHeight="12.75"/>
  <cols>
    <col min="1" max="1" width="46.421875" style="16" bestFit="1" customWidth="1"/>
    <col min="2" max="2" width="13.7109375" style="16" customWidth="1"/>
    <col min="3" max="3" width="2.8515625" style="16" customWidth="1"/>
    <col min="4" max="4" width="13.7109375" style="16" customWidth="1"/>
    <col min="5" max="5" width="2.8515625" style="16" customWidth="1"/>
    <col min="6" max="6" width="13.7109375" style="16" customWidth="1"/>
    <col min="7" max="7" width="2.8515625" style="16" customWidth="1"/>
    <col min="8" max="8" width="13.7109375" style="16" customWidth="1"/>
    <col min="9" max="9" width="2.28125" style="16" customWidth="1"/>
    <col min="10" max="10" width="13.7109375" style="3" bestFit="1" customWidth="1"/>
    <col min="11" max="11" width="11.28125" style="5" bestFit="1" customWidth="1"/>
    <col min="12" max="12" width="11.421875" style="4" bestFit="1" customWidth="1"/>
    <col min="13" max="13" width="8.421875" style="4" bestFit="1" customWidth="1"/>
    <col min="14" max="14" width="10.8515625" style="46" bestFit="1" customWidth="1"/>
    <col min="15" max="17" width="11.421875" style="39" bestFit="1" customWidth="1"/>
    <col min="18" max="21" width="8.421875" style="39" bestFit="1" customWidth="1"/>
    <col min="22" max="22" width="11.421875" style="39" bestFit="1" customWidth="1"/>
    <col min="23" max="24" width="8.421875" style="39" bestFit="1" customWidth="1"/>
    <col min="25" max="25" width="10.00390625" style="39" bestFit="1" customWidth="1"/>
    <col min="26" max="26" width="10.00390625" style="17" bestFit="1" customWidth="1"/>
    <col min="27" max="28" width="11.28125" style="17" bestFit="1" customWidth="1"/>
    <col min="29" max="31" width="9.57421875" style="16" bestFit="1" customWidth="1"/>
    <col min="32" max="32" width="10.8515625" style="16" bestFit="1" customWidth="1"/>
    <col min="33" max="16384" width="9.140625" style="16" customWidth="1"/>
  </cols>
  <sheetData>
    <row r="1" spans="1:28" s="2" customFormat="1" ht="13.5" customHeight="1">
      <c r="A1" s="1"/>
      <c r="J1" s="3"/>
      <c r="K1" s="5"/>
      <c r="L1" s="4"/>
      <c r="M1" s="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6"/>
      <c r="AA1" s="6"/>
      <c r="AB1" s="6"/>
    </row>
    <row r="2" spans="1:28" s="2" customFormat="1" ht="13.5" customHeight="1">
      <c r="A2" s="1"/>
      <c r="J2" s="3"/>
      <c r="K2" s="5"/>
      <c r="L2" s="4"/>
      <c r="M2" s="4"/>
      <c r="N2" s="44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6"/>
      <c r="AA2" s="6"/>
      <c r="AB2" s="6"/>
    </row>
    <row r="3" spans="1:28" s="2" customFormat="1" ht="15.75">
      <c r="A3" s="60"/>
      <c r="B3" s="59" t="s">
        <v>74</v>
      </c>
      <c r="C3" s="59"/>
      <c r="D3" s="59"/>
      <c r="E3" s="59"/>
      <c r="F3" s="59"/>
      <c r="G3" s="59"/>
      <c r="H3" s="59"/>
      <c r="J3" s="3"/>
      <c r="K3" s="5"/>
      <c r="L3" s="4"/>
      <c r="M3" s="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6"/>
      <c r="AA3" s="6"/>
      <c r="AB3" s="6"/>
    </row>
    <row r="4" spans="1:28" s="2" customFormat="1" ht="8.25" customHeight="1">
      <c r="A4" s="60"/>
      <c r="B4" s="7"/>
      <c r="C4" s="59"/>
      <c r="D4" s="59"/>
      <c r="E4" s="59"/>
      <c r="F4" s="59"/>
      <c r="G4" s="59"/>
      <c r="H4" s="8"/>
      <c r="J4" s="3"/>
      <c r="K4" s="5"/>
      <c r="L4" s="4"/>
      <c r="M4" s="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6"/>
      <c r="AA4" s="6"/>
      <c r="AB4" s="6"/>
    </row>
    <row r="5" spans="1:28" s="2" customFormat="1" ht="15.75">
      <c r="A5" s="60"/>
      <c r="B5" s="59" t="s">
        <v>75</v>
      </c>
      <c r="C5" s="59"/>
      <c r="D5" s="59"/>
      <c r="E5" s="59"/>
      <c r="F5" s="59"/>
      <c r="G5" s="59"/>
      <c r="H5" s="59"/>
      <c r="J5" s="3"/>
      <c r="K5" s="5"/>
      <c r="L5" s="4"/>
      <c r="M5" s="4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6"/>
      <c r="AA5" s="6"/>
      <c r="AB5" s="6"/>
    </row>
    <row r="6" spans="1:28" s="2" customFormat="1" ht="15.75">
      <c r="A6" s="60"/>
      <c r="B6" s="59" t="s">
        <v>210</v>
      </c>
      <c r="C6" s="59"/>
      <c r="D6" s="59"/>
      <c r="E6" s="59"/>
      <c r="F6" s="59"/>
      <c r="G6" s="59"/>
      <c r="H6" s="59"/>
      <c r="J6" s="3"/>
      <c r="K6" s="5"/>
      <c r="L6" s="4"/>
      <c r="M6" s="4"/>
      <c r="N6" s="44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6"/>
      <c r="AA6" s="6"/>
      <c r="AB6" s="6"/>
    </row>
    <row r="7" spans="1:28" s="2" customFormat="1" ht="8.25" customHeight="1">
      <c r="A7" s="1"/>
      <c r="B7" s="9"/>
      <c r="C7" s="9"/>
      <c r="D7" s="9"/>
      <c r="E7" s="9"/>
      <c r="F7" s="9"/>
      <c r="G7" s="9"/>
      <c r="J7" s="3"/>
      <c r="K7" s="5"/>
      <c r="L7" s="4"/>
      <c r="M7" s="4"/>
      <c r="N7" s="44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6"/>
      <c r="AA7" s="6"/>
      <c r="AB7" s="6"/>
    </row>
    <row r="8" spans="1:28" s="2" customFormat="1" ht="10.5" customHeight="1">
      <c r="A8" s="1"/>
      <c r="B8" s="10"/>
      <c r="C8" s="10"/>
      <c r="D8" s="10"/>
      <c r="E8" s="10"/>
      <c r="F8" s="10"/>
      <c r="G8" s="10"/>
      <c r="J8" s="3"/>
      <c r="K8" s="5"/>
      <c r="L8" s="4"/>
      <c r="M8" s="4"/>
      <c r="N8" s="44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6"/>
      <c r="AA8" s="6"/>
      <c r="AB8" s="6"/>
    </row>
    <row r="9" spans="1:28" s="2" customFormat="1" ht="12.75">
      <c r="A9" s="11"/>
      <c r="B9" s="11"/>
      <c r="C9" s="11"/>
      <c r="D9" s="11"/>
      <c r="E9" s="11"/>
      <c r="F9" s="11"/>
      <c r="G9" s="11"/>
      <c r="J9" s="3"/>
      <c r="K9" s="5"/>
      <c r="L9" s="4"/>
      <c r="M9" s="4"/>
      <c r="N9" s="44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6"/>
      <c r="AA9" s="6"/>
      <c r="AB9" s="6"/>
    </row>
    <row r="10" spans="1:8" ht="12.75">
      <c r="A10" s="12"/>
      <c r="B10" s="13">
        <v>42917</v>
      </c>
      <c r="C10" s="14"/>
      <c r="D10" s="15" t="s">
        <v>0</v>
      </c>
      <c r="E10" s="14"/>
      <c r="F10" s="15" t="s">
        <v>1</v>
      </c>
      <c r="G10" s="14"/>
      <c r="H10" s="13">
        <v>43281</v>
      </c>
    </row>
    <row r="11" spans="1:8" ht="12.75">
      <c r="A11" s="12"/>
      <c r="B11" s="18"/>
      <c r="C11" s="12"/>
      <c r="D11" s="18"/>
      <c r="E11" s="12"/>
      <c r="F11" s="18"/>
      <c r="G11" s="12"/>
      <c r="H11" s="18"/>
    </row>
    <row r="12" spans="1:8" ht="12.75">
      <c r="A12" s="12" t="s">
        <v>5</v>
      </c>
      <c r="B12" s="12"/>
      <c r="C12" s="12"/>
      <c r="D12" s="12"/>
      <c r="E12" s="12"/>
      <c r="F12" s="12"/>
      <c r="G12" s="12"/>
      <c r="H12" s="12"/>
    </row>
    <row r="13" spans="1:8" ht="12.75">
      <c r="A13" s="12" t="s">
        <v>6</v>
      </c>
      <c r="B13" s="12"/>
      <c r="C13" s="12"/>
      <c r="D13" s="12"/>
      <c r="E13" s="12"/>
      <c r="F13" s="12"/>
      <c r="G13" s="12"/>
      <c r="H13" s="12"/>
    </row>
    <row r="14" spans="1:8" ht="12.75">
      <c r="A14" s="12" t="s">
        <v>100</v>
      </c>
      <c r="B14" s="19">
        <v>0</v>
      </c>
      <c r="C14" s="12"/>
      <c r="D14" s="19">
        <f>3364524+1519393+461568</f>
        <v>5345485</v>
      </c>
      <c r="E14" s="12"/>
      <c r="F14" s="19">
        <f>3364524+1519393+461568</f>
        <v>5345485</v>
      </c>
      <c r="G14" s="12"/>
      <c r="H14" s="19">
        <f aca="true" t="shared" si="0" ref="H14:H25">B14+D14-F14</f>
        <v>0</v>
      </c>
    </row>
    <row r="15" spans="1:8" ht="12.75">
      <c r="A15" s="12" t="s">
        <v>322</v>
      </c>
      <c r="B15" s="12">
        <v>0</v>
      </c>
      <c r="C15" s="12"/>
      <c r="D15" s="12">
        <v>3087</v>
      </c>
      <c r="E15" s="12"/>
      <c r="F15" s="12">
        <v>3087</v>
      </c>
      <c r="G15" s="12"/>
      <c r="H15" s="12">
        <f t="shared" si="0"/>
        <v>0</v>
      </c>
    </row>
    <row r="16" spans="1:8" ht="12.75">
      <c r="A16" s="12" t="s">
        <v>119</v>
      </c>
      <c r="B16" s="12">
        <v>0</v>
      </c>
      <c r="C16" s="12"/>
      <c r="D16" s="12">
        <f>16426+1261</f>
        <v>17687</v>
      </c>
      <c r="E16" s="12"/>
      <c r="F16" s="12">
        <f>16426+1261</f>
        <v>17687</v>
      </c>
      <c r="G16" s="12"/>
      <c r="H16" s="12">
        <f t="shared" si="0"/>
        <v>0</v>
      </c>
    </row>
    <row r="17" spans="1:8" ht="12.75">
      <c r="A17" s="12" t="s">
        <v>321</v>
      </c>
      <c r="B17" s="12">
        <v>0</v>
      </c>
      <c r="C17" s="12"/>
      <c r="D17" s="12">
        <v>191723</v>
      </c>
      <c r="E17" s="12"/>
      <c r="F17" s="12">
        <v>191723</v>
      </c>
      <c r="G17" s="12"/>
      <c r="H17" s="12">
        <f t="shared" si="0"/>
        <v>0</v>
      </c>
    </row>
    <row r="18" spans="1:8" ht="12.75">
      <c r="A18" s="12" t="s">
        <v>323</v>
      </c>
      <c r="B18" s="12">
        <v>0</v>
      </c>
      <c r="C18" s="12"/>
      <c r="D18" s="12">
        <v>-42150</v>
      </c>
      <c r="E18" s="12"/>
      <c r="F18" s="12">
        <v>-42150</v>
      </c>
      <c r="G18" s="12"/>
      <c r="H18" s="12">
        <f t="shared" si="0"/>
        <v>0</v>
      </c>
    </row>
    <row r="19" spans="1:8" ht="12.75">
      <c r="A19" s="12" t="s">
        <v>153</v>
      </c>
      <c r="B19" s="12">
        <v>0</v>
      </c>
      <c r="C19" s="12"/>
      <c r="D19" s="12">
        <v>86436</v>
      </c>
      <c r="E19" s="12"/>
      <c r="F19" s="12">
        <v>86436</v>
      </c>
      <c r="G19" s="12"/>
      <c r="H19" s="12">
        <f t="shared" si="0"/>
        <v>0</v>
      </c>
    </row>
    <row r="20" spans="1:8" ht="12.75">
      <c r="A20" s="12" t="s">
        <v>103</v>
      </c>
      <c r="B20" s="12">
        <v>0</v>
      </c>
      <c r="C20" s="12"/>
      <c r="D20" s="12">
        <v>459586</v>
      </c>
      <c r="E20" s="12"/>
      <c r="F20" s="12">
        <v>459586</v>
      </c>
      <c r="G20" s="12"/>
      <c r="H20" s="12">
        <f t="shared" si="0"/>
        <v>0</v>
      </c>
    </row>
    <row r="21" spans="1:8" ht="12.75">
      <c r="A21" s="12" t="s">
        <v>152</v>
      </c>
      <c r="B21" s="12">
        <v>0</v>
      </c>
      <c r="C21" s="12"/>
      <c r="D21" s="12">
        <v>13159673</v>
      </c>
      <c r="E21" s="12"/>
      <c r="F21" s="12">
        <v>13159673</v>
      </c>
      <c r="G21" s="12"/>
      <c r="H21" s="12">
        <f t="shared" si="0"/>
        <v>0</v>
      </c>
    </row>
    <row r="22" spans="1:8" ht="12.75">
      <c r="A22" s="12" t="s">
        <v>320</v>
      </c>
      <c r="B22" s="12">
        <v>0</v>
      </c>
      <c r="C22" s="12"/>
      <c r="D22" s="12">
        <v>38</v>
      </c>
      <c r="E22" s="12"/>
      <c r="F22" s="12">
        <v>38</v>
      </c>
      <c r="G22" s="12"/>
      <c r="H22" s="12">
        <f t="shared" si="0"/>
        <v>0</v>
      </c>
    </row>
    <row r="23" spans="1:8" ht="12.75">
      <c r="A23" s="12" t="s">
        <v>180</v>
      </c>
      <c r="B23" s="12">
        <v>0</v>
      </c>
      <c r="C23" s="12"/>
      <c r="D23" s="12">
        <f>-16417+66814</f>
        <v>50397</v>
      </c>
      <c r="E23" s="12"/>
      <c r="F23" s="12">
        <f>-16417+66814</f>
        <v>50397</v>
      </c>
      <c r="G23" s="12"/>
      <c r="H23" s="12">
        <f>B23+D23-F23</f>
        <v>0</v>
      </c>
    </row>
    <row r="24" spans="1:8" ht="12.75">
      <c r="A24" s="12" t="s">
        <v>120</v>
      </c>
      <c r="B24" s="12">
        <v>0</v>
      </c>
      <c r="C24" s="12"/>
      <c r="D24" s="12">
        <v>5453</v>
      </c>
      <c r="E24" s="12"/>
      <c r="F24" s="12">
        <v>5453</v>
      </c>
      <c r="G24" s="12"/>
      <c r="H24" s="12">
        <f t="shared" si="0"/>
        <v>0</v>
      </c>
    </row>
    <row r="25" spans="1:8" ht="12.75">
      <c r="A25" s="12" t="s">
        <v>185</v>
      </c>
      <c r="B25" s="12">
        <v>0</v>
      </c>
      <c r="C25" s="12"/>
      <c r="D25" s="12">
        <v>120906</v>
      </c>
      <c r="E25" s="12"/>
      <c r="F25" s="12">
        <v>120906</v>
      </c>
      <c r="G25" s="12"/>
      <c r="H25" s="12">
        <f t="shared" si="0"/>
        <v>0</v>
      </c>
    </row>
    <row r="26" spans="1:8" ht="12.75">
      <c r="A26" s="12" t="s">
        <v>156</v>
      </c>
      <c r="B26" s="20">
        <v>0</v>
      </c>
      <c r="C26" s="12"/>
      <c r="D26" s="20">
        <f>SUM(D13:D25)</f>
        <v>19398321</v>
      </c>
      <c r="E26" s="12"/>
      <c r="F26" s="20">
        <f>SUM(F13:F25)</f>
        <v>19398321</v>
      </c>
      <c r="G26" s="12"/>
      <c r="H26" s="20">
        <f>SUM(H13:H25)</f>
        <v>0</v>
      </c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 t="s">
        <v>7</v>
      </c>
      <c r="B28" s="12"/>
      <c r="C28" s="12"/>
      <c r="D28" s="12"/>
      <c r="E28" s="12"/>
      <c r="F28" s="12"/>
      <c r="G28" s="12"/>
      <c r="H28" s="12"/>
    </row>
    <row r="29" spans="1:11" ht="12.75">
      <c r="A29" s="12" t="s">
        <v>85</v>
      </c>
      <c r="B29" s="14"/>
      <c r="C29" s="14"/>
      <c r="D29" s="14"/>
      <c r="E29" s="14"/>
      <c r="F29" s="14"/>
      <c r="G29" s="14"/>
      <c r="H29" s="12"/>
      <c r="K29" s="5">
        <f>ROUND(J29,0)-H29</f>
        <v>0</v>
      </c>
    </row>
    <row r="30" spans="1:12" ht="12.75">
      <c r="A30" s="12" t="s">
        <v>82</v>
      </c>
      <c r="B30" s="14">
        <v>222</v>
      </c>
      <c r="C30" s="14"/>
      <c r="D30" s="14">
        <v>-222</v>
      </c>
      <c r="E30" s="14"/>
      <c r="F30" s="14">
        <v>0</v>
      </c>
      <c r="G30" s="14"/>
      <c r="H30" s="12">
        <f aca="true" t="shared" si="1" ref="H30:H43">+B30+D30-F30</f>
        <v>0</v>
      </c>
      <c r="J30" s="3">
        <v>0</v>
      </c>
      <c r="K30" s="5">
        <f>J30-H30</f>
        <v>0</v>
      </c>
      <c r="L30" s="4" t="s">
        <v>269</v>
      </c>
    </row>
    <row r="31" spans="1:11" ht="12.75">
      <c r="A31" s="12" t="s">
        <v>84</v>
      </c>
      <c r="B31" s="14"/>
      <c r="C31" s="14"/>
      <c r="D31" s="14"/>
      <c r="E31" s="14"/>
      <c r="F31" s="14"/>
      <c r="G31" s="14"/>
      <c r="H31" s="12"/>
      <c r="K31" s="5">
        <f aca="true" t="shared" si="2" ref="K31:K43">J31-H31</f>
        <v>0</v>
      </c>
    </row>
    <row r="32" spans="1:12" ht="12.75">
      <c r="A32" s="12" t="s">
        <v>93</v>
      </c>
      <c r="B32" s="14">
        <v>16</v>
      </c>
      <c r="C32" s="14"/>
      <c r="D32" s="14">
        <v>0</v>
      </c>
      <c r="E32" s="14"/>
      <c r="F32" s="14">
        <v>0</v>
      </c>
      <c r="G32" s="14"/>
      <c r="H32" s="12">
        <f t="shared" si="1"/>
        <v>16</v>
      </c>
      <c r="J32" s="3">
        <v>15.58</v>
      </c>
      <c r="K32" s="5">
        <f t="shared" si="2"/>
        <v>-0.41999999999999993</v>
      </c>
      <c r="L32" s="4" t="s">
        <v>267</v>
      </c>
    </row>
    <row r="33" spans="1:12" ht="12.75">
      <c r="A33" s="12" t="s">
        <v>83</v>
      </c>
      <c r="B33" s="14">
        <v>14</v>
      </c>
      <c r="C33" s="14"/>
      <c r="D33" s="14">
        <v>0</v>
      </c>
      <c r="E33" s="14"/>
      <c r="F33" s="14">
        <v>0</v>
      </c>
      <c r="G33" s="14"/>
      <c r="H33" s="12">
        <f t="shared" si="1"/>
        <v>14</v>
      </c>
      <c r="J33" s="3">
        <v>14.1</v>
      </c>
      <c r="K33" s="5">
        <f t="shared" si="2"/>
        <v>0.09999999999999964</v>
      </c>
      <c r="L33" s="4" t="s">
        <v>263</v>
      </c>
    </row>
    <row r="34" spans="1:12" ht="12.75">
      <c r="A34" s="12" t="s">
        <v>107</v>
      </c>
      <c r="B34" s="14">
        <v>3699</v>
      </c>
      <c r="C34" s="14"/>
      <c r="D34" s="14">
        <v>40</v>
      </c>
      <c r="E34" s="14"/>
      <c r="F34" s="14">
        <v>0</v>
      </c>
      <c r="G34" s="14"/>
      <c r="H34" s="12">
        <f t="shared" si="1"/>
        <v>3739</v>
      </c>
      <c r="J34" s="3">
        <v>3739.03</v>
      </c>
      <c r="K34" s="5">
        <f t="shared" si="2"/>
        <v>0.03000000000020009</v>
      </c>
      <c r="L34" s="4" t="s">
        <v>262</v>
      </c>
    </row>
    <row r="35" spans="1:12" ht="12.75">
      <c r="A35" s="12" t="s">
        <v>121</v>
      </c>
      <c r="B35" s="14">
        <v>31</v>
      </c>
      <c r="C35" s="14"/>
      <c r="D35" s="14">
        <v>0</v>
      </c>
      <c r="E35" s="14"/>
      <c r="F35" s="14">
        <v>0</v>
      </c>
      <c r="G35" s="14"/>
      <c r="H35" s="12">
        <f t="shared" si="1"/>
        <v>31</v>
      </c>
      <c r="J35" s="3">
        <v>31.46</v>
      </c>
      <c r="K35" s="5">
        <f t="shared" si="2"/>
        <v>0.46000000000000085</v>
      </c>
      <c r="L35" s="4" t="s">
        <v>268</v>
      </c>
    </row>
    <row r="36" spans="1:12" ht="12.75">
      <c r="A36" s="12" t="s">
        <v>94</v>
      </c>
      <c r="B36" s="14">
        <v>459</v>
      </c>
      <c r="C36" s="14"/>
      <c r="D36" s="14">
        <v>5</v>
      </c>
      <c r="E36" s="14"/>
      <c r="F36" s="14">
        <v>0</v>
      </c>
      <c r="G36" s="14"/>
      <c r="H36" s="12">
        <f t="shared" si="1"/>
        <v>464</v>
      </c>
      <c r="J36" s="3">
        <v>463.7</v>
      </c>
      <c r="K36" s="5">
        <f t="shared" si="2"/>
        <v>-0.30000000000001137</v>
      </c>
      <c r="L36" s="4" t="s">
        <v>265</v>
      </c>
    </row>
    <row r="37" spans="1:12" ht="12.75">
      <c r="A37" s="12" t="s">
        <v>81</v>
      </c>
      <c r="B37" s="14">
        <v>146073</v>
      </c>
      <c r="C37" s="14"/>
      <c r="D37" s="14">
        <v>1593</v>
      </c>
      <c r="E37" s="14"/>
      <c r="F37" s="14">
        <v>0</v>
      </c>
      <c r="G37" s="14"/>
      <c r="H37" s="12">
        <f t="shared" si="1"/>
        <v>147666</v>
      </c>
      <c r="J37" s="3">
        <v>147665.84</v>
      </c>
      <c r="K37" s="5">
        <f t="shared" si="2"/>
        <v>-0.16000000000349246</v>
      </c>
      <c r="L37" s="4" t="s">
        <v>270</v>
      </c>
    </row>
    <row r="38" spans="1:12" ht="12.75">
      <c r="A38" s="12" t="s">
        <v>36</v>
      </c>
      <c r="B38" s="14">
        <v>17</v>
      </c>
      <c r="C38" s="14"/>
      <c r="D38" s="14">
        <v>0</v>
      </c>
      <c r="E38" s="14"/>
      <c r="F38" s="14">
        <v>0</v>
      </c>
      <c r="G38" s="14"/>
      <c r="H38" s="12">
        <f t="shared" si="1"/>
        <v>17</v>
      </c>
      <c r="J38" s="3">
        <v>17.31</v>
      </c>
      <c r="K38" s="5">
        <f t="shared" si="2"/>
        <v>0.3099999999999987</v>
      </c>
      <c r="L38" s="4" t="s">
        <v>264</v>
      </c>
    </row>
    <row r="39" spans="1:11" ht="12.75">
      <c r="A39" s="12" t="s">
        <v>105</v>
      </c>
      <c r="B39" s="14"/>
      <c r="C39" s="14"/>
      <c r="D39" s="14"/>
      <c r="E39" s="14"/>
      <c r="F39" s="14"/>
      <c r="G39" s="14"/>
      <c r="H39" s="12"/>
      <c r="K39" s="5">
        <f t="shared" si="2"/>
        <v>0</v>
      </c>
    </row>
    <row r="40" spans="1:12" ht="12.75">
      <c r="A40" s="12" t="s">
        <v>106</v>
      </c>
      <c r="B40" s="14">
        <v>609199</v>
      </c>
      <c r="C40" s="14"/>
      <c r="D40" s="14">
        <v>-533426</v>
      </c>
      <c r="E40" s="14"/>
      <c r="F40" s="14">
        <v>75773</v>
      </c>
      <c r="G40" s="14"/>
      <c r="H40" s="12">
        <f t="shared" si="1"/>
        <v>0</v>
      </c>
      <c r="J40" s="3">
        <v>0</v>
      </c>
      <c r="K40" s="5">
        <f t="shared" si="2"/>
        <v>0</v>
      </c>
      <c r="L40" s="4" t="s">
        <v>266</v>
      </c>
    </row>
    <row r="41" spans="1:12" ht="12.75">
      <c r="A41" s="12" t="s">
        <v>107</v>
      </c>
      <c r="B41" s="14">
        <v>859508</v>
      </c>
      <c r="C41" s="14"/>
      <c r="D41" s="14">
        <v>-138868</v>
      </c>
      <c r="E41" s="14"/>
      <c r="F41" s="14">
        <v>720640</v>
      </c>
      <c r="G41" s="14"/>
      <c r="H41" s="12">
        <f t="shared" si="1"/>
        <v>0</v>
      </c>
      <c r="J41" s="3">
        <v>0</v>
      </c>
      <c r="K41" s="5">
        <f t="shared" si="2"/>
        <v>0</v>
      </c>
      <c r="L41" s="4" t="s">
        <v>261</v>
      </c>
    </row>
    <row r="42" spans="1:12" ht="12.75">
      <c r="A42" s="12" t="s">
        <v>108</v>
      </c>
      <c r="B42" s="14">
        <v>9173457</v>
      </c>
      <c r="C42" s="14"/>
      <c r="D42" s="14">
        <v>-3259742</v>
      </c>
      <c r="E42" s="14"/>
      <c r="F42" s="14">
        <v>5913715</v>
      </c>
      <c r="G42" s="14"/>
      <c r="H42" s="12">
        <f t="shared" si="1"/>
        <v>0</v>
      </c>
      <c r="J42" s="3">
        <v>0</v>
      </c>
      <c r="K42" s="5">
        <f t="shared" si="2"/>
        <v>0</v>
      </c>
      <c r="L42" s="4" t="s">
        <v>231</v>
      </c>
    </row>
    <row r="43" spans="1:11" ht="12.75">
      <c r="A43" s="12" t="s">
        <v>41</v>
      </c>
      <c r="B43" s="20">
        <f>SUM(B29:B42)</f>
        <v>10792695</v>
      </c>
      <c r="C43" s="14"/>
      <c r="D43" s="20">
        <f>SUM(D29:D42)</f>
        <v>-3930620</v>
      </c>
      <c r="E43" s="14"/>
      <c r="F43" s="20">
        <f>SUM(F29:F42)</f>
        <v>6710128</v>
      </c>
      <c r="G43" s="14"/>
      <c r="H43" s="20">
        <f t="shared" si="1"/>
        <v>151947</v>
      </c>
      <c r="J43" s="58">
        <f>SUM(J30:J42)</f>
        <v>151947.02</v>
      </c>
      <c r="K43" s="5">
        <f t="shared" si="2"/>
        <v>0.01999999998952262</v>
      </c>
    </row>
    <row r="44" spans="1:8" ht="12.75">
      <c r="A44" s="12"/>
      <c r="B44" s="12"/>
      <c r="C44" s="14"/>
      <c r="D44" s="12"/>
      <c r="E44" s="14"/>
      <c r="F44" s="12"/>
      <c r="G44" s="14"/>
      <c r="H44" s="12"/>
    </row>
    <row r="45" spans="1:8" ht="12.75">
      <c r="A45" s="12" t="s">
        <v>8</v>
      </c>
      <c r="B45" s="12"/>
      <c r="C45" s="12"/>
      <c r="D45" s="12"/>
      <c r="E45" s="12"/>
      <c r="F45" s="12"/>
      <c r="G45" s="14"/>
      <c r="H45" s="12"/>
    </row>
    <row r="46" spans="1:8" ht="12.75">
      <c r="A46" s="12" t="s">
        <v>9</v>
      </c>
      <c r="B46" s="12"/>
      <c r="C46" s="12"/>
      <c r="D46" s="12"/>
      <c r="E46" s="12"/>
      <c r="F46" s="12"/>
      <c r="G46" s="12"/>
      <c r="H46" s="12"/>
    </row>
    <row r="47" spans="1:12" ht="12.75">
      <c r="A47" s="12" t="s">
        <v>10</v>
      </c>
      <c r="B47" s="12">
        <v>32334</v>
      </c>
      <c r="C47" s="12"/>
      <c r="D47" s="12">
        <v>0</v>
      </c>
      <c r="E47" s="12"/>
      <c r="F47" s="12">
        <v>0</v>
      </c>
      <c r="G47" s="12"/>
      <c r="H47" s="12">
        <f aca="true" t="shared" si="3" ref="H47:H70">+B47+D47-F47</f>
        <v>32334</v>
      </c>
      <c r="J47" s="3">
        <v>32333.88</v>
      </c>
      <c r="K47" s="5">
        <f>J47-H47</f>
        <v>-0.11999999999898137</v>
      </c>
      <c r="L47" s="4" t="s">
        <v>315</v>
      </c>
    </row>
    <row r="48" spans="1:12" ht="12.75">
      <c r="A48" s="12" t="s">
        <v>196</v>
      </c>
      <c r="B48" s="12">
        <v>1525608</v>
      </c>
      <c r="C48" s="12"/>
      <c r="D48" s="12">
        <v>1953461</v>
      </c>
      <c r="E48" s="12"/>
      <c r="F48" s="12">
        <v>0</v>
      </c>
      <c r="G48" s="12"/>
      <c r="H48" s="12">
        <f t="shared" si="3"/>
        <v>3479069</v>
      </c>
      <c r="J48" s="3">
        <v>3479068.84</v>
      </c>
      <c r="K48" s="5">
        <f aca="true" t="shared" si="4" ref="K48:K70">J48-H48</f>
        <v>-0.1600000001490116</v>
      </c>
      <c r="L48" s="4" t="s">
        <v>316</v>
      </c>
    </row>
    <row r="49" spans="1:11" ht="12.75">
      <c r="A49" s="12" t="s">
        <v>45</v>
      </c>
      <c r="B49" s="12"/>
      <c r="C49" s="12"/>
      <c r="D49" s="12"/>
      <c r="E49" s="12"/>
      <c r="F49" s="12"/>
      <c r="G49" s="12"/>
      <c r="H49" s="12"/>
      <c r="K49" s="5">
        <f t="shared" si="4"/>
        <v>0</v>
      </c>
    </row>
    <row r="50" spans="1:12" ht="12.75">
      <c r="A50" s="12" t="s">
        <v>123</v>
      </c>
      <c r="B50" s="12">
        <v>12715</v>
      </c>
      <c r="C50" s="12"/>
      <c r="D50" s="12">
        <v>79</v>
      </c>
      <c r="E50" s="12"/>
      <c r="F50" s="12">
        <v>0</v>
      </c>
      <c r="G50" s="12"/>
      <c r="H50" s="12">
        <f t="shared" si="3"/>
        <v>12794</v>
      </c>
      <c r="J50" s="3">
        <v>12794.05</v>
      </c>
      <c r="K50" s="5">
        <f t="shared" si="4"/>
        <v>0.049999999999272404</v>
      </c>
      <c r="L50" s="22" t="s">
        <v>228</v>
      </c>
    </row>
    <row r="51" spans="1:12" ht="12.75">
      <c r="A51" s="12" t="s">
        <v>222</v>
      </c>
      <c r="B51" s="12">
        <v>20547</v>
      </c>
      <c r="C51" s="18"/>
      <c r="D51" s="12">
        <v>30867</v>
      </c>
      <c r="E51" s="12"/>
      <c r="F51" s="12">
        <v>15000</v>
      </c>
      <c r="G51" s="12"/>
      <c r="H51" s="12">
        <f>+B51+D51-F51</f>
        <v>36414</v>
      </c>
      <c r="J51" s="3">
        <v>36413.83</v>
      </c>
      <c r="K51" s="5">
        <f t="shared" si="4"/>
        <v>-0.16999999999825377</v>
      </c>
      <c r="L51" s="22" t="s">
        <v>221</v>
      </c>
    </row>
    <row r="52" spans="1:12" ht="12.75">
      <c r="A52" s="12" t="s">
        <v>168</v>
      </c>
      <c r="B52" s="12">
        <v>899946</v>
      </c>
      <c r="C52" s="12"/>
      <c r="D52" s="12">
        <v>200000</v>
      </c>
      <c r="E52" s="12"/>
      <c r="F52" s="12">
        <v>26205</v>
      </c>
      <c r="G52" s="12"/>
      <c r="H52" s="12">
        <f t="shared" si="3"/>
        <v>1073741</v>
      </c>
      <c r="J52" s="3">
        <v>1073740.75</v>
      </c>
      <c r="K52" s="5">
        <f t="shared" si="4"/>
        <v>-0.25</v>
      </c>
      <c r="L52" s="4" t="s">
        <v>314</v>
      </c>
    </row>
    <row r="53" spans="1:12" ht="12.75">
      <c r="A53" s="12" t="s">
        <v>69</v>
      </c>
      <c r="B53" s="12">
        <v>40336</v>
      </c>
      <c r="C53" s="12"/>
      <c r="D53" s="12">
        <v>628</v>
      </c>
      <c r="E53" s="12"/>
      <c r="F53" s="12">
        <v>13679</v>
      </c>
      <c r="G53" s="12"/>
      <c r="H53" s="12">
        <f t="shared" si="3"/>
        <v>27285</v>
      </c>
      <c r="J53" s="3">
        <v>27285.16</v>
      </c>
      <c r="K53" s="5">
        <f t="shared" si="4"/>
        <v>0.15999999999985448</v>
      </c>
      <c r="L53" s="22" t="s">
        <v>224</v>
      </c>
    </row>
    <row r="54" spans="1:12" ht="12.75">
      <c r="A54" s="12" t="s">
        <v>157</v>
      </c>
      <c r="B54" s="12">
        <v>300000</v>
      </c>
      <c r="C54" s="12"/>
      <c r="D54" s="12">
        <v>100000</v>
      </c>
      <c r="E54" s="12"/>
      <c r="F54" s="12">
        <v>0</v>
      </c>
      <c r="G54" s="12"/>
      <c r="H54" s="12">
        <f t="shared" si="3"/>
        <v>400000</v>
      </c>
      <c r="J54" s="3">
        <v>400000</v>
      </c>
      <c r="K54" s="5">
        <f t="shared" si="4"/>
        <v>0</v>
      </c>
      <c r="L54" s="4" t="s">
        <v>248</v>
      </c>
    </row>
    <row r="55" spans="1:12" ht="12.75">
      <c r="A55" s="12" t="s">
        <v>49</v>
      </c>
      <c r="B55" s="12">
        <v>12202</v>
      </c>
      <c r="C55" s="12"/>
      <c r="D55" s="12">
        <v>0</v>
      </c>
      <c r="E55" s="12"/>
      <c r="F55" s="12">
        <v>0</v>
      </c>
      <c r="G55" s="12"/>
      <c r="H55" s="12">
        <f t="shared" si="3"/>
        <v>12202</v>
      </c>
      <c r="J55" s="3">
        <v>12202</v>
      </c>
      <c r="K55" s="5">
        <f t="shared" si="4"/>
        <v>0</v>
      </c>
      <c r="L55" s="22" t="s">
        <v>216</v>
      </c>
    </row>
    <row r="56" spans="1:12" ht="12.75">
      <c r="A56" s="12" t="s">
        <v>50</v>
      </c>
      <c r="B56" s="12">
        <v>1771</v>
      </c>
      <c r="C56" s="12"/>
      <c r="D56" s="12">
        <v>0</v>
      </c>
      <c r="E56" s="12"/>
      <c r="F56" s="12">
        <v>0</v>
      </c>
      <c r="G56" s="12"/>
      <c r="H56" s="12">
        <f t="shared" si="3"/>
        <v>1771</v>
      </c>
      <c r="J56" s="3">
        <v>1770.71</v>
      </c>
      <c r="K56" s="5">
        <f t="shared" si="4"/>
        <v>-0.2899999999999636</v>
      </c>
      <c r="L56" s="22" t="s">
        <v>212</v>
      </c>
    </row>
    <row r="57" spans="1:12" ht="12.75">
      <c r="A57" s="12" t="s">
        <v>60</v>
      </c>
      <c r="B57" s="12">
        <v>54459</v>
      </c>
      <c r="C57" s="12"/>
      <c r="D57" s="12">
        <v>0</v>
      </c>
      <c r="E57" s="12"/>
      <c r="F57" s="12">
        <v>29005</v>
      </c>
      <c r="G57" s="12"/>
      <c r="H57" s="12">
        <f t="shared" si="3"/>
        <v>25454</v>
      </c>
      <c r="J57" s="3">
        <v>25454.02</v>
      </c>
      <c r="K57" s="5">
        <f t="shared" si="4"/>
        <v>0.020000000000436557</v>
      </c>
      <c r="L57" s="22" t="s">
        <v>223</v>
      </c>
    </row>
    <row r="58" spans="1:12" ht="12.75">
      <c r="A58" s="12" t="s">
        <v>61</v>
      </c>
      <c r="B58" s="12">
        <v>41410</v>
      </c>
      <c r="C58" s="12"/>
      <c r="D58" s="12">
        <v>0</v>
      </c>
      <c r="E58" s="12"/>
      <c r="F58" s="12">
        <v>0</v>
      </c>
      <c r="G58" s="12"/>
      <c r="H58" s="12">
        <f t="shared" si="3"/>
        <v>41410</v>
      </c>
      <c r="J58" s="3">
        <v>41410</v>
      </c>
      <c r="K58" s="5">
        <f t="shared" si="4"/>
        <v>0</v>
      </c>
      <c r="L58" s="22" t="s">
        <v>213</v>
      </c>
    </row>
    <row r="59" spans="1:12" ht="12.75">
      <c r="A59" s="12" t="s">
        <v>51</v>
      </c>
      <c r="B59" s="12">
        <v>71535</v>
      </c>
      <c r="C59" s="12"/>
      <c r="D59" s="12">
        <v>980</v>
      </c>
      <c r="E59" s="12"/>
      <c r="F59" s="12">
        <v>0</v>
      </c>
      <c r="G59" s="12"/>
      <c r="H59" s="12">
        <f t="shared" si="3"/>
        <v>72515</v>
      </c>
      <c r="J59" s="3">
        <v>72515.51</v>
      </c>
      <c r="K59" s="5">
        <f t="shared" si="4"/>
        <v>0.5099999999947613</v>
      </c>
      <c r="L59" s="22" t="s">
        <v>227</v>
      </c>
    </row>
    <row r="60" spans="1:12" ht="12.75">
      <c r="A60" s="12" t="s">
        <v>129</v>
      </c>
      <c r="B60" s="12">
        <v>149856</v>
      </c>
      <c r="C60" s="12"/>
      <c r="D60" s="12">
        <v>189324</v>
      </c>
      <c r="E60" s="12"/>
      <c r="F60" s="12">
        <v>26542</v>
      </c>
      <c r="G60" s="12"/>
      <c r="H60" s="12">
        <f t="shared" si="3"/>
        <v>312638</v>
      </c>
      <c r="J60" s="3">
        <v>312638.14</v>
      </c>
      <c r="K60" s="5">
        <f t="shared" si="4"/>
        <v>0.14000000001396984</v>
      </c>
      <c r="L60" s="22" t="s">
        <v>220</v>
      </c>
    </row>
    <row r="61" spans="1:12" ht="12.75">
      <c r="A61" s="12" t="s">
        <v>52</v>
      </c>
      <c r="B61" s="14">
        <v>567668</v>
      </c>
      <c r="C61" s="14"/>
      <c r="D61" s="12">
        <v>200000</v>
      </c>
      <c r="E61" s="12"/>
      <c r="F61" s="12">
        <v>0</v>
      </c>
      <c r="G61" s="14"/>
      <c r="H61" s="14">
        <f t="shared" si="3"/>
        <v>767668</v>
      </c>
      <c r="J61" s="3">
        <v>767667.68</v>
      </c>
      <c r="K61" s="5">
        <f t="shared" si="4"/>
        <v>-0.31999999994877726</v>
      </c>
      <c r="L61" s="22" t="s">
        <v>247</v>
      </c>
    </row>
    <row r="62" spans="1:12" ht="12.75">
      <c r="A62" s="12" t="s">
        <v>53</v>
      </c>
      <c r="B62" s="14">
        <v>1791920</v>
      </c>
      <c r="C62" s="14"/>
      <c r="D62" s="12">
        <v>50000</v>
      </c>
      <c r="E62" s="12"/>
      <c r="F62" s="12">
        <v>0</v>
      </c>
      <c r="G62" s="14"/>
      <c r="H62" s="14">
        <f t="shared" si="3"/>
        <v>1841920</v>
      </c>
      <c r="J62" s="3">
        <v>1841920.19</v>
      </c>
      <c r="K62" s="5">
        <f t="shared" si="4"/>
        <v>0.18999999994412065</v>
      </c>
      <c r="L62" s="22" t="s">
        <v>246</v>
      </c>
    </row>
    <row r="63" spans="1:14" ht="12.75">
      <c r="A63" s="12" t="s">
        <v>54</v>
      </c>
      <c r="B63" s="12">
        <v>168261</v>
      </c>
      <c r="C63" s="12"/>
      <c r="D63" s="12">
        <v>13329</v>
      </c>
      <c r="E63" s="12"/>
      <c r="F63" s="12">
        <v>11350</v>
      </c>
      <c r="G63" s="12"/>
      <c r="H63" s="12">
        <f t="shared" si="3"/>
        <v>170240</v>
      </c>
      <c r="J63" s="3">
        <v>170240.65</v>
      </c>
      <c r="K63" s="5">
        <f t="shared" si="4"/>
        <v>0.6499999999941792</v>
      </c>
      <c r="L63" s="22" t="s">
        <v>226</v>
      </c>
      <c r="N63" s="47">
        <f>SUM(J50:J63)</f>
        <v>4796052.69</v>
      </c>
    </row>
    <row r="64" spans="1:12" ht="12.75">
      <c r="A64" s="12" t="s">
        <v>39</v>
      </c>
      <c r="B64" s="12">
        <v>853163</v>
      </c>
      <c r="C64" s="12"/>
      <c r="D64" s="12">
        <v>-43642</v>
      </c>
      <c r="E64" s="12"/>
      <c r="F64" s="12">
        <v>82585</v>
      </c>
      <c r="G64" s="12"/>
      <c r="H64" s="12">
        <f>+B64+D64-F64</f>
        <v>726936</v>
      </c>
      <c r="J64" s="54">
        <v>726936.21</v>
      </c>
      <c r="K64" s="5">
        <f t="shared" si="4"/>
        <v>0.2099999999627471</v>
      </c>
      <c r="L64" s="53" t="s">
        <v>317</v>
      </c>
    </row>
    <row r="65" spans="1:11" ht="12.75">
      <c r="A65" s="12" t="s">
        <v>192</v>
      </c>
      <c r="B65" s="12"/>
      <c r="C65" s="12"/>
      <c r="D65" s="12"/>
      <c r="E65" s="12"/>
      <c r="F65" s="12"/>
      <c r="G65" s="12"/>
      <c r="H65" s="12"/>
      <c r="K65" s="5">
        <f t="shared" si="4"/>
        <v>0</v>
      </c>
    </row>
    <row r="66" spans="1:12" ht="12.75">
      <c r="A66" s="12" t="s">
        <v>193</v>
      </c>
      <c r="B66" s="12">
        <v>70000</v>
      </c>
      <c r="C66" s="12"/>
      <c r="D66" s="12">
        <v>0</v>
      </c>
      <c r="E66" s="12"/>
      <c r="F66" s="12">
        <v>0</v>
      </c>
      <c r="G66" s="12"/>
      <c r="H66" s="12">
        <f t="shared" si="3"/>
        <v>70000</v>
      </c>
      <c r="J66" s="3">
        <v>70000</v>
      </c>
      <c r="K66" s="5">
        <f t="shared" si="4"/>
        <v>0</v>
      </c>
      <c r="L66" s="4" t="s">
        <v>319</v>
      </c>
    </row>
    <row r="67" spans="1:12" ht="12.75">
      <c r="A67" s="12" t="s">
        <v>194</v>
      </c>
      <c r="B67" s="12">
        <v>601148</v>
      </c>
      <c r="C67" s="12"/>
      <c r="D67" s="12">
        <v>0</v>
      </c>
      <c r="E67" s="12"/>
      <c r="F67" s="12">
        <v>0</v>
      </c>
      <c r="G67" s="12"/>
      <c r="H67" s="12">
        <f t="shared" si="3"/>
        <v>601148</v>
      </c>
      <c r="J67" s="3">
        <v>601148.1</v>
      </c>
      <c r="K67" s="5">
        <f t="shared" si="4"/>
        <v>0.09999999997671694</v>
      </c>
      <c r="L67" s="4" t="s">
        <v>318</v>
      </c>
    </row>
    <row r="68" spans="1:12" ht="12.75">
      <c r="A68" s="12" t="s">
        <v>195</v>
      </c>
      <c r="B68" s="12">
        <v>8145</v>
      </c>
      <c r="C68" s="12"/>
      <c r="D68" s="12"/>
      <c r="E68" s="12"/>
      <c r="F68" s="12"/>
      <c r="G68" s="12"/>
      <c r="H68" s="12">
        <f t="shared" si="3"/>
        <v>8145</v>
      </c>
      <c r="J68" s="3">
        <v>8144.85</v>
      </c>
      <c r="K68" s="5">
        <f t="shared" si="4"/>
        <v>-0.1499999999996362</v>
      </c>
      <c r="L68" s="4" t="s">
        <v>410</v>
      </c>
    </row>
    <row r="69" spans="1:12" ht="12.75">
      <c r="A69" s="12" t="s">
        <v>117</v>
      </c>
      <c r="B69" s="12">
        <v>3598537</v>
      </c>
      <c r="C69" s="12"/>
      <c r="D69" s="12">
        <v>1164237</v>
      </c>
      <c r="E69" s="12"/>
      <c r="F69" s="12">
        <v>0</v>
      </c>
      <c r="G69" s="12"/>
      <c r="H69" s="12">
        <f t="shared" si="3"/>
        <v>4762774</v>
      </c>
      <c r="J69" s="3">
        <v>4762773.97</v>
      </c>
      <c r="K69" s="5">
        <f t="shared" si="4"/>
        <v>-0.03000000026077032</v>
      </c>
      <c r="L69" s="4" t="s">
        <v>411</v>
      </c>
    </row>
    <row r="70" spans="1:12" ht="12.75">
      <c r="A70" s="12" t="s">
        <v>118</v>
      </c>
      <c r="B70" s="12">
        <v>5960244</v>
      </c>
      <c r="C70" s="12"/>
      <c r="D70" s="12">
        <v>0</v>
      </c>
      <c r="E70" s="12"/>
      <c r="F70" s="12">
        <v>360367</v>
      </c>
      <c r="G70" s="12"/>
      <c r="H70" s="12">
        <f t="shared" si="3"/>
        <v>5599877</v>
      </c>
      <c r="J70" s="3">
        <v>5599877.04</v>
      </c>
      <c r="K70" s="5">
        <f t="shared" si="4"/>
        <v>0.0400000000372529</v>
      </c>
      <c r="L70" s="40" t="s">
        <v>412</v>
      </c>
    </row>
    <row r="71" spans="1:11" ht="12.75">
      <c r="A71" s="12" t="s">
        <v>46</v>
      </c>
      <c r="B71" s="24">
        <f>SUM(B47:B70)</f>
        <v>16781805</v>
      </c>
      <c r="C71" s="14"/>
      <c r="D71" s="24">
        <f>SUM(D47:D70)</f>
        <v>3859263</v>
      </c>
      <c r="E71" s="14"/>
      <c r="F71" s="24">
        <f>SUM(F47:F70)</f>
        <v>564733</v>
      </c>
      <c r="G71" s="14"/>
      <c r="H71" s="24">
        <f>SUM(H47:H70)</f>
        <v>20076335</v>
      </c>
      <c r="J71" s="58">
        <f>SUM(J47:J70)</f>
        <v>20076335.579999994</v>
      </c>
      <c r="K71" s="5">
        <f>J71-H71</f>
        <v>0.5799999944865704</v>
      </c>
    </row>
    <row r="72" spans="1:8" ht="12.75">
      <c r="A72" s="12" t="s">
        <v>11</v>
      </c>
      <c r="B72" s="12"/>
      <c r="C72" s="12"/>
      <c r="D72" s="12"/>
      <c r="E72" s="12"/>
      <c r="F72" s="12"/>
      <c r="G72" s="12"/>
      <c r="H72" s="12"/>
    </row>
    <row r="73" spans="1:8" ht="12.75">
      <c r="A73" s="12" t="s">
        <v>12</v>
      </c>
      <c r="B73" s="12"/>
      <c r="C73" s="12"/>
      <c r="D73" s="12"/>
      <c r="E73" s="12"/>
      <c r="F73" s="12"/>
      <c r="G73" s="12"/>
      <c r="H73" s="12"/>
    </row>
    <row r="74" spans="1:12" ht="12.75">
      <c r="A74" s="12" t="s">
        <v>173</v>
      </c>
      <c r="B74" s="12">
        <v>597772</v>
      </c>
      <c r="C74" s="12"/>
      <c r="D74" s="12">
        <v>0</v>
      </c>
      <c r="E74" s="12"/>
      <c r="F74" s="12">
        <v>491109</v>
      </c>
      <c r="G74" s="12"/>
      <c r="H74" s="12">
        <f aca="true" t="shared" si="5" ref="H74:H105">+B74+D74-F74</f>
        <v>106663</v>
      </c>
      <c r="J74" s="3">
        <v>106662.57</v>
      </c>
      <c r="K74" s="5">
        <f aca="true" t="shared" si="6" ref="K74:K135">J74-H74</f>
        <v>-0.4299999999930151</v>
      </c>
      <c r="L74" s="40" t="s">
        <v>415</v>
      </c>
    </row>
    <row r="75" spans="1:13" ht="12.75">
      <c r="A75" s="12" t="s">
        <v>14</v>
      </c>
      <c r="B75" s="12">
        <v>1216308</v>
      </c>
      <c r="C75" s="12"/>
      <c r="D75" s="12">
        <v>-506437</v>
      </c>
      <c r="E75" s="12"/>
      <c r="F75" s="12">
        <v>0</v>
      </c>
      <c r="G75" s="12"/>
      <c r="H75" s="12">
        <f t="shared" si="5"/>
        <v>709871</v>
      </c>
      <c r="J75" s="3">
        <v>709871.4</v>
      </c>
      <c r="K75" s="5">
        <f t="shared" si="6"/>
        <v>0.40000000002328306</v>
      </c>
      <c r="L75" s="40" t="s">
        <v>416</v>
      </c>
      <c r="M75" s="40" t="s">
        <v>417</v>
      </c>
    </row>
    <row r="76" spans="1:12" ht="12.75">
      <c r="A76" s="12" t="s">
        <v>15</v>
      </c>
      <c r="B76" s="12">
        <v>168408</v>
      </c>
      <c r="C76" s="12"/>
      <c r="D76" s="12">
        <v>0</v>
      </c>
      <c r="E76" s="12"/>
      <c r="F76" s="12">
        <v>0</v>
      </c>
      <c r="G76" s="12"/>
      <c r="H76" s="12">
        <f t="shared" si="5"/>
        <v>168408</v>
      </c>
      <c r="J76" s="3">
        <v>168408.24</v>
      </c>
      <c r="K76" s="5">
        <f t="shared" si="6"/>
        <v>0.23999999999068677</v>
      </c>
      <c r="L76" s="40" t="s">
        <v>418</v>
      </c>
    </row>
    <row r="77" spans="1:12" ht="12.75">
      <c r="A77" s="12" t="s">
        <v>174</v>
      </c>
      <c r="B77" s="12">
        <v>650000</v>
      </c>
      <c r="C77" s="12"/>
      <c r="D77" s="12">
        <v>0</v>
      </c>
      <c r="E77" s="12"/>
      <c r="F77" s="12">
        <v>390160</v>
      </c>
      <c r="G77" s="12"/>
      <c r="H77" s="12">
        <f t="shared" si="5"/>
        <v>259840</v>
      </c>
      <c r="J77" s="3">
        <v>259839.83</v>
      </c>
      <c r="K77" s="5">
        <f t="shared" si="6"/>
        <v>-0.17000000001280569</v>
      </c>
      <c r="L77" s="40" t="s">
        <v>419</v>
      </c>
    </row>
    <row r="78" spans="1:14" ht="12.75">
      <c r="A78" s="12" t="s">
        <v>87</v>
      </c>
      <c r="B78" s="12">
        <v>17597165</v>
      </c>
      <c r="C78" s="12"/>
      <c r="D78" s="12">
        <v>-1097414</v>
      </c>
      <c r="E78" s="12"/>
      <c r="F78" s="12">
        <v>4599419</v>
      </c>
      <c r="G78" s="12"/>
      <c r="H78" s="12">
        <f t="shared" si="5"/>
        <v>11900332</v>
      </c>
      <c r="J78" s="3">
        <v>11900331.87</v>
      </c>
      <c r="K78" s="5">
        <f t="shared" si="6"/>
        <v>-0.13000000081956387</v>
      </c>
      <c r="L78" s="40" t="s">
        <v>420</v>
      </c>
      <c r="M78" s="40" t="s">
        <v>421</v>
      </c>
      <c r="N78" s="48" t="s">
        <v>430</v>
      </c>
    </row>
    <row r="79" spans="1:12" ht="12.75">
      <c r="A79" s="12" t="s">
        <v>16</v>
      </c>
      <c r="B79" s="12">
        <v>328509</v>
      </c>
      <c r="C79" s="12"/>
      <c r="D79" s="12">
        <v>0</v>
      </c>
      <c r="E79" s="12"/>
      <c r="F79" s="12">
        <v>13762</v>
      </c>
      <c r="G79" s="12"/>
      <c r="H79" s="12">
        <f t="shared" si="5"/>
        <v>314747</v>
      </c>
      <c r="J79" s="3">
        <v>314746.95</v>
      </c>
      <c r="K79" s="5">
        <f t="shared" si="6"/>
        <v>-0.04999999998835847</v>
      </c>
      <c r="L79" s="40" t="s">
        <v>422</v>
      </c>
    </row>
    <row r="80" spans="1:12" ht="12.75">
      <c r="A80" s="12" t="s">
        <v>124</v>
      </c>
      <c r="B80" s="12">
        <v>561177</v>
      </c>
      <c r="C80" s="12"/>
      <c r="D80" s="12">
        <v>0</v>
      </c>
      <c r="E80" s="12"/>
      <c r="F80" s="12">
        <v>0</v>
      </c>
      <c r="G80" s="12"/>
      <c r="H80" s="12">
        <f t="shared" si="5"/>
        <v>561177</v>
      </c>
      <c r="J80" s="3">
        <v>561177.27</v>
      </c>
      <c r="K80" s="5">
        <f t="shared" si="6"/>
        <v>0.27000000001862645</v>
      </c>
      <c r="L80" s="40" t="s">
        <v>423</v>
      </c>
    </row>
    <row r="81" spans="1:12" ht="12.75">
      <c r="A81" s="12" t="s">
        <v>335</v>
      </c>
      <c r="B81" s="12">
        <v>0</v>
      </c>
      <c r="C81" s="12"/>
      <c r="D81" s="12">
        <v>550000</v>
      </c>
      <c r="E81" s="12"/>
      <c r="F81" s="12">
        <v>0</v>
      </c>
      <c r="G81" s="12"/>
      <c r="H81" s="12">
        <f t="shared" si="5"/>
        <v>550000</v>
      </c>
      <c r="J81" s="3">
        <v>550000</v>
      </c>
      <c r="K81" s="5">
        <f t="shared" si="6"/>
        <v>0</v>
      </c>
      <c r="L81" s="40" t="s">
        <v>336</v>
      </c>
    </row>
    <row r="82" spans="1:13" ht="12.75">
      <c r="A82" s="12" t="s">
        <v>21</v>
      </c>
      <c r="B82" s="12">
        <v>1394094</v>
      </c>
      <c r="C82" s="12"/>
      <c r="D82" s="12">
        <v>188518</v>
      </c>
      <c r="E82" s="12"/>
      <c r="F82" s="12">
        <v>1057505</v>
      </c>
      <c r="G82" s="12"/>
      <c r="H82" s="12">
        <f t="shared" si="5"/>
        <v>525107</v>
      </c>
      <c r="J82" s="3">
        <v>525106.93</v>
      </c>
      <c r="K82" s="5">
        <f t="shared" si="6"/>
        <v>-0.06999999994877726</v>
      </c>
      <c r="L82" s="40" t="s">
        <v>424</v>
      </c>
      <c r="M82" s="40" t="s">
        <v>425</v>
      </c>
    </row>
    <row r="83" spans="1:12" ht="12.75">
      <c r="A83" s="12" t="s">
        <v>22</v>
      </c>
      <c r="B83" s="12">
        <v>41090</v>
      </c>
      <c r="C83" s="12"/>
      <c r="D83" s="12">
        <v>0</v>
      </c>
      <c r="E83" s="12"/>
      <c r="F83" s="12">
        <v>0</v>
      </c>
      <c r="G83" s="12"/>
      <c r="H83" s="12">
        <f t="shared" si="5"/>
        <v>41090</v>
      </c>
      <c r="J83" s="3">
        <v>41090.25</v>
      </c>
      <c r="K83" s="5">
        <f t="shared" si="6"/>
        <v>0.25</v>
      </c>
      <c r="L83" s="40" t="s">
        <v>426</v>
      </c>
    </row>
    <row r="84" spans="1:12" ht="12.75">
      <c r="A84" s="12" t="s">
        <v>175</v>
      </c>
      <c r="B84" s="12">
        <v>238188</v>
      </c>
      <c r="C84" s="12"/>
      <c r="D84" s="12">
        <v>230757</v>
      </c>
      <c r="E84" s="12"/>
      <c r="F84" s="12">
        <v>441748</v>
      </c>
      <c r="G84" s="12"/>
      <c r="H84" s="12">
        <f t="shared" si="5"/>
        <v>27197</v>
      </c>
      <c r="J84" s="3">
        <v>27196.98</v>
      </c>
      <c r="K84" s="5">
        <f t="shared" si="6"/>
        <v>-0.020000000000436557</v>
      </c>
      <c r="L84" s="40" t="s">
        <v>387</v>
      </c>
    </row>
    <row r="85" spans="1:12" ht="12.75">
      <c r="A85" s="12" t="s">
        <v>23</v>
      </c>
      <c r="B85" s="12">
        <v>517572</v>
      </c>
      <c r="C85" s="12"/>
      <c r="D85" s="12">
        <v>0</v>
      </c>
      <c r="E85" s="12"/>
      <c r="F85" s="12">
        <v>7819</v>
      </c>
      <c r="G85" s="12"/>
      <c r="H85" s="12">
        <f t="shared" si="5"/>
        <v>509753</v>
      </c>
      <c r="J85" s="3">
        <v>509753.2</v>
      </c>
      <c r="K85" s="5">
        <f t="shared" si="6"/>
        <v>0.20000000001164153</v>
      </c>
      <c r="L85" s="40" t="s">
        <v>427</v>
      </c>
    </row>
    <row r="86" spans="1:12" ht="12.75">
      <c r="A86" s="12" t="s">
        <v>164</v>
      </c>
      <c r="B86" s="12">
        <v>250</v>
      </c>
      <c r="C86" s="12"/>
      <c r="D86" s="12">
        <v>0</v>
      </c>
      <c r="E86" s="12"/>
      <c r="F86" s="12">
        <v>0</v>
      </c>
      <c r="G86" s="12"/>
      <c r="H86" s="12">
        <f t="shared" si="5"/>
        <v>250</v>
      </c>
      <c r="J86" s="3">
        <v>250</v>
      </c>
      <c r="K86" s="5">
        <f t="shared" si="6"/>
        <v>0</v>
      </c>
      <c r="L86" s="40" t="s">
        <v>219</v>
      </c>
    </row>
    <row r="87" spans="1:12" ht="12.75">
      <c r="A87" s="12" t="s">
        <v>72</v>
      </c>
      <c r="B87" s="12">
        <v>693708</v>
      </c>
      <c r="C87" s="12"/>
      <c r="D87" s="12">
        <v>0</v>
      </c>
      <c r="E87" s="12"/>
      <c r="F87" s="12">
        <v>58467</v>
      </c>
      <c r="G87" s="12"/>
      <c r="H87" s="12">
        <f t="shared" si="5"/>
        <v>635241</v>
      </c>
      <c r="J87" s="3">
        <v>635240.94</v>
      </c>
      <c r="K87" s="5">
        <f t="shared" si="6"/>
        <v>-0.060000000055879354</v>
      </c>
      <c r="L87" s="40" t="s">
        <v>256</v>
      </c>
    </row>
    <row r="88" spans="1:12" ht="12.75">
      <c r="A88" s="12" t="s">
        <v>176</v>
      </c>
      <c r="B88" s="12">
        <v>-14894</v>
      </c>
      <c r="C88" s="12"/>
      <c r="D88" s="12">
        <v>14894</v>
      </c>
      <c r="E88" s="12"/>
      <c r="F88" s="12">
        <v>0</v>
      </c>
      <c r="G88" s="12"/>
      <c r="H88" s="12">
        <f t="shared" si="5"/>
        <v>0</v>
      </c>
      <c r="J88" s="3">
        <v>0</v>
      </c>
      <c r="K88" s="5">
        <f t="shared" si="6"/>
        <v>0</v>
      </c>
      <c r="L88" s="40" t="s">
        <v>428</v>
      </c>
    </row>
    <row r="89" spans="1:12" ht="12.75">
      <c r="A89" s="12" t="s">
        <v>198</v>
      </c>
      <c r="B89" s="12">
        <v>235</v>
      </c>
      <c r="C89" s="12"/>
      <c r="D89" s="12">
        <v>0</v>
      </c>
      <c r="E89" s="12"/>
      <c r="F89" s="12">
        <v>0</v>
      </c>
      <c r="G89" s="12"/>
      <c r="H89" s="12">
        <f t="shared" si="5"/>
        <v>235</v>
      </c>
      <c r="J89" s="3">
        <v>235.5</v>
      </c>
      <c r="K89" s="5">
        <f t="shared" si="6"/>
        <v>0.5</v>
      </c>
      <c r="L89" s="40" t="s">
        <v>382</v>
      </c>
    </row>
    <row r="90" spans="1:12" ht="12.75">
      <c r="A90" s="12" t="s">
        <v>199</v>
      </c>
      <c r="B90" s="12">
        <v>25000</v>
      </c>
      <c r="C90" s="12"/>
      <c r="D90" s="12">
        <v>0</v>
      </c>
      <c r="E90" s="12"/>
      <c r="F90" s="12">
        <v>20470</v>
      </c>
      <c r="G90" s="12"/>
      <c r="H90" s="12">
        <f t="shared" si="5"/>
        <v>4530</v>
      </c>
      <c r="J90" s="3">
        <v>4530</v>
      </c>
      <c r="K90" s="5">
        <f t="shared" si="6"/>
        <v>0</v>
      </c>
      <c r="L90" s="40" t="s">
        <v>429</v>
      </c>
    </row>
    <row r="91" spans="1:12" ht="12.75">
      <c r="A91" s="12" t="s">
        <v>125</v>
      </c>
      <c r="B91" s="14">
        <f>5367632</f>
        <v>5367632</v>
      </c>
      <c r="C91" s="12"/>
      <c r="D91" s="14">
        <v>-1000000</v>
      </c>
      <c r="E91" s="12"/>
      <c r="F91" s="14">
        <v>0</v>
      </c>
      <c r="G91" s="12"/>
      <c r="H91" s="14">
        <f>+B91+D91-F91</f>
        <v>4367632</v>
      </c>
      <c r="J91" s="3">
        <v>4367631.52</v>
      </c>
      <c r="K91" s="5">
        <f t="shared" si="6"/>
        <v>-0.48000000044703484</v>
      </c>
      <c r="L91" s="52" t="s">
        <v>431</v>
      </c>
    </row>
    <row r="92" spans="1:12" ht="12.75">
      <c r="A92" s="12" t="s">
        <v>165</v>
      </c>
      <c r="B92" s="14">
        <v>333909</v>
      </c>
      <c r="C92" s="12"/>
      <c r="D92" s="14">
        <v>894000</v>
      </c>
      <c r="E92" s="12"/>
      <c r="F92" s="14">
        <v>212159</v>
      </c>
      <c r="G92" s="12"/>
      <c r="H92" s="14">
        <f>+B92+D92-F92</f>
        <v>1015750</v>
      </c>
      <c r="J92" s="3">
        <v>1015749.62</v>
      </c>
      <c r="K92" s="5">
        <f t="shared" si="6"/>
        <v>-0.3800000000046566</v>
      </c>
      <c r="L92" s="40" t="s">
        <v>260</v>
      </c>
    </row>
    <row r="93" spans="1:12" ht="12.75">
      <c r="A93" s="12" t="s">
        <v>17</v>
      </c>
      <c r="B93" s="12">
        <v>303049</v>
      </c>
      <c r="C93" s="12"/>
      <c r="D93" s="12">
        <v>0</v>
      </c>
      <c r="E93" s="12"/>
      <c r="F93" s="12">
        <v>117358</v>
      </c>
      <c r="G93" s="12"/>
      <c r="H93" s="12">
        <f t="shared" si="5"/>
        <v>185691</v>
      </c>
      <c r="J93" s="3">
        <v>185690.31</v>
      </c>
      <c r="K93" s="5">
        <f t="shared" si="6"/>
        <v>-0.6900000000023283</v>
      </c>
      <c r="L93" s="40" t="s">
        <v>250</v>
      </c>
    </row>
    <row r="94" spans="1:12" ht="12.75">
      <c r="A94" s="12" t="s">
        <v>116</v>
      </c>
      <c r="B94" s="12">
        <v>1967639</v>
      </c>
      <c r="C94" s="12"/>
      <c r="D94" s="12">
        <v>-700000</v>
      </c>
      <c r="E94" s="12"/>
      <c r="F94" s="12">
        <v>269715</v>
      </c>
      <c r="G94" s="12"/>
      <c r="H94" s="12">
        <f t="shared" si="5"/>
        <v>997924</v>
      </c>
      <c r="J94" s="3">
        <v>997924.73</v>
      </c>
      <c r="K94" s="5">
        <f t="shared" si="6"/>
        <v>0.7299999999813735</v>
      </c>
      <c r="L94" s="40" t="s">
        <v>259</v>
      </c>
    </row>
    <row r="95" spans="1:12" ht="12.75">
      <c r="A95" s="12" t="s">
        <v>18</v>
      </c>
      <c r="B95" s="12">
        <v>640205</v>
      </c>
      <c r="C95" s="12"/>
      <c r="D95" s="12">
        <v>83370</v>
      </c>
      <c r="E95" s="12"/>
      <c r="F95" s="12">
        <v>30759</v>
      </c>
      <c r="G95" s="12"/>
      <c r="H95" s="12">
        <f t="shared" si="5"/>
        <v>692816</v>
      </c>
      <c r="J95" s="3">
        <v>692815.95</v>
      </c>
      <c r="K95" s="5">
        <f t="shared" si="6"/>
        <v>-0.05000000004656613</v>
      </c>
      <c r="L95" s="40" t="s">
        <v>432</v>
      </c>
    </row>
    <row r="96" spans="1:12" ht="12.75">
      <c r="A96" s="12" t="s">
        <v>88</v>
      </c>
      <c r="B96" s="12">
        <v>92574</v>
      </c>
      <c r="C96" s="12"/>
      <c r="D96" s="12">
        <v>0</v>
      </c>
      <c r="E96" s="12"/>
      <c r="F96" s="12">
        <v>92574</v>
      </c>
      <c r="G96" s="12"/>
      <c r="H96" s="12">
        <f t="shared" si="5"/>
        <v>0</v>
      </c>
      <c r="J96" s="3">
        <v>0</v>
      </c>
      <c r="K96" s="5">
        <f t="shared" si="6"/>
        <v>0</v>
      </c>
      <c r="L96" s="40" t="s">
        <v>240</v>
      </c>
    </row>
    <row r="97" spans="1:12" ht="12.75">
      <c r="A97" s="12" t="s">
        <v>374</v>
      </c>
      <c r="B97" s="12">
        <v>0</v>
      </c>
      <c r="C97" s="12"/>
      <c r="D97" s="12">
        <v>300000</v>
      </c>
      <c r="E97" s="12"/>
      <c r="F97" s="12">
        <v>272910</v>
      </c>
      <c r="G97" s="12"/>
      <c r="H97" s="12">
        <f t="shared" si="5"/>
        <v>27090</v>
      </c>
      <c r="J97" s="3">
        <v>27090.39</v>
      </c>
      <c r="K97" s="5">
        <f t="shared" si="6"/>
        <v>0.3899999999994179</v>
      </c>
      <c r="L97" s="40" t="s">
        <v>375</v>
      </c>
    </row>
    <row r="98" spans="1:12" ht="12.75">
      <c r="A98" s="12" t="s">
        <v>208</v>
      </c>
      <c r="B98" s="12">
        <v>511075</v>
      </c>
      <c r="C98" s="12"/>
      <c r="D98" s="12">
        <v>0</v>
      </c>
      <c r="E98" s="12"/>
      <c r="F98" s="12">
        <v>170472</v>
      </c>
      <c r="G98" s="12"/>
      <c r="H98" s="12">
        <f t="shared" si="5"/>
        <v>340603</v>
      </c>
      <c r="J98" s="3">
        <v>340603.1</v>
      </c>
      <c r="K98" s="5">
        <f t="shared" si="6"/>
        <v>0.09999999997671694</v>
      </c>
      <c r="L98" s="40" t="s">
        <v>433</v>
      </c>
    </row>
    <row r="99" spans="1:12" ht="12.75">
      <c r="A99" s="12" t="s">
        <v>200</v>
      </c>
      <c r="B99" s="12">
        <v>1076</v>
      </c>
      <c r="C99" s="12"/>
      <c r="D99" s="12">
        <v>0</v>
      </c>
      <c r="E99" s="12"/>
      <c r="F99" s="12">
        <v>1076</v>
      </c>
      <c r="G99" s="12"/>
      <c r="H99" s="12">
        <f t="shared" si="5"/>
        <v>0</v>
      </c>
      <c r="J99" s="3">
        <v>0</v>
      </c>
      <c r="K99" s="5">
        <f t="shared" si="6"/>
        <v>0</v>
      </c>
      <c r="L99" s="40" t="s">
        <v>434</v>
      </c>
    </row>
    <row r="100" spans="1:12" ht="12.75">
      <c r="A100" s="12" t="s">
        <v>201</v>
      </c>
      <c r="B100" s="12">
        <v>29000</v>
      </c>
      <c r="C100" s="12"/>
      <c r="D100" s="12">
        <v>-751</v>
      </c>
      <c r="E100" s="12"/>
      <c r="F100" s="12">
        <v>28249</v>
      </c>
      <c r="G100" s="12"/>
      <c r="H100" s="12">
        <f t="shared" si="5"/>
        <v>0</v>
      </c>
      <c r="J100" s="3">
        <v>0</v>
      </c>
      <c r="K100" s="5">
        <f t="shared" si="6"/>
        <v>0</v>
      </c>
      <c r="L100" s="40" t="s">
        <v>379</v>
      </c>
    </row>
    <row r="101" spans="1:12" ht="12.75">
      <c r="A101" s="12" t="s">
        <v>202</v>
      </c>
      <c r="B101" s="12">
        <v>114729</v>
      </c>
      <c r="C101" s="12"/>
      <c r="D101" s="12">
        <v>0</v>
      </c>
      <c r="E101" s="12"/>
      <c r="F101" s="12">
        <v>82852</v>
      </c>
      <c r="G101" s="12"/>
      <c r="H101" s="12">
        <f t="shared" si="5"/>
        <v>31877</v>
      </c>
      <c r="J101" s="3">
        <v>31876.55</v>
      </c>
      <c r="K101" s="5">
        <f t="shared" si="6"/>
        <v>-0.4500000000007276</v>
      </c>
      <c r="L101" s="40" t="s">
        <v>435</v>
      </c>
    </row>
    <row r="102" spans="1:12" ht="12.75">
      <c r="A102" s="12" t="s">
        <v>368</v>
      </c>
      <c r="B102" s="12">
        <v>0</v>
      </c>
      <c r="C102" s="12"/>
      <c r="D102" s="12">
        <v>1000000</v>
      </c>
      <c r="E102" s="12"/>
      <c r="F102" s="12">
        <v>0</v>
      </c>
      <c r="G102" s="12"/>
      <c r="H102" s="12">
        <f t="shared" si="5"/>
        <v>1000000</v>
      </c>
      <c r="J102" s="3">
        <v>1000000</v>
      </c>
      <c r="K102" s="5">
        <f t="shared" si="6"/>
        <v>0</v>
      </c>
      <c r="L102" s="40" t="s">
        <v>369</v>
      </c>
    </row>
    <row r="103" spans="1:12" ht="12.75">
      <c r="A103" s="12" t="s">
        <v>366</v>
      </c>
      <c r="B103" s="12">
        <v>0</v>
      </c>
      <c r="C103" s="12"/>
      <c r="D103" s="12">
        <v>500000</v>
      </c>
      <c r="E103" s="12"/>
      <c r="F103" s="12">
        <v>2815</v>
      </c>
      <c r="G103" s="12"/>
      <c r="H103" s="12">
        <f t="shared" si="5"/>
        <v>497185</v>
      </c>
      <c r="J103" s="3">
        <v>497185</v>
      </c>
      <c r="K103" s="5">
        <f t="shared" si="6"/>
        <v>0</v>
      </c>
      <c r="L103" s="40" t="s">
        <v>367</v>
      </c>
    </row>
    <row r="104" spans="1:12" ht="12.75">
      <c r="A104" s="12" t="s">
        <v>209</v>
      </c>
      <c r="B104" s="12">
        <v>44000</v>
      </c>
      <c r="C104" s="12"/>
      <c r="D104" s="12">
        <v>2095</v>
      </c>
      <c r="E104" s="12"/>
      <c r="F104" s="12">
        <v>46095</v>
      </c>
      <c r="G104" s="12"/>
      <c r="H104" s="12">
        <f t="shared" si="5"/>
        <v>0</v>
      </c>
      <c r="J104" s="3">
        <v>0</v>
      </c>
      <c r="K104" s="5">
        <f t="shared" si="6"/>
        <v>0</v>
      </c>
      <c r="L104" s="40" t="s">
        <v>380</v>
      </c>
    </row>
    <row r="105" spans="1:25" ht="12.75">
      <c r="A105" s="12" t="s">
        <v>66</v>
      </c>
      <c r="B105" s="12">
        <v>41739</v>
      </c>
      <c r="C105" s="12"/>
      <c r="D105" s="12">
        <v>0</v>
      </c>
      <c r="E105" s="12"/>
      <c r="F105" s="12">
        <v>0</v>
      </c>
      <c r="G105" s="12"/>
      <c r="H105" s="12">
        <f t="shared" si="5"/>
        <v>41739</v>
      </c>
      <c r="J105" s="3">
        <v>41739</v>
      </c>
      <c r="K105" s="5">
        <f>J105-H105</f>
        <v>0</v>
      </c>
      <c r="L105" s="52" t="s">
        <v>254</v>
      </c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</row>
    <row r="106" spans="1:12" ht="12.75">
      <c r="A106" s="12" t="s">
        <v>19</v>
      </c>
      <c r="B106" s="12">
        <v>4364026</v>
      </c>
      <c r="C106" s="12"/>
      <c r="D106" s="12">
        <v>-3015724</v>
      </c>
      <c r="E106" s="12"/>
      <c r="F106" s="12">
        <v>233600</v>
      </c>
      <c r="G106" s="12"/>
      <c r="H106" s="12">
        <f aca="true" t="shared" si="7" ref="H106:H118">+B106+D106-F106</f>
        <v>1114702</v>
      </c>
      <c r="J106" s="3">
        <v>1114702.84</v>
      </c>
      <c r="K106" s="5">
        <f t="shared" si="6"/>
        <v>0.840000000083819</v>
      </c>
      <c r="L106" s="40" t="s">
        <v>252</v>
      </c>
    </row>
    <row r="107" spans="1:25" ht="12.75">
      <c r="A107" s="12" t="s">
        <v>531</v>
      </c>
      <c r="B107" s="12">
        <v>0</v>
      </c>
      <c r="C107" s="12"/>
      <c r="D107" s="12">
        <v>400000</v>
      </c>
      <c r="E107" s="12"/>
      <c r="F107" s="12">
        <v>0</v>
      </c>
      <c r="G107" s="12"/>
      <c r="H107" s="12">
        <f t="shared" si="7"/>
        <v>400000</v>
      </c>
      <c r="J107" s="3">
        <v>400000</v>
      </c>
      <c r="K107" s="5">
        <f t="shared" si="6"/>
        <v>0</v>
      </c>
      <c r="L107" s="40" t="s">
        <v>530</v>
      </c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</row>
    <row r="108" spans="1:14" ht="12.75">
      <c r="A108" s="12" t="s">
        <v>90</v>
      </c>
      <c r="B108" s="12">
        <v>16687888</v>
      </c>
      <c r="C108" s="12"/>
      <c r="D108" s="12">
        <v>2000000</v>
      </c>
      <c r="E108" s="12"/>
      <c r="F108" s="12">
        <v>4926315</v>
      </c>
      <c r="G108" s="12"/>
      <c r="H108" s="12">
        <f t="shared" si="7"/>
        <v>13761573</v>
      </c>
      <c r="J108" s="3">
        <v>13761572.25</v>
      </c>
      <c r="K108" s="5">
        <f t="shared" si="6"/>
        <v>-0.75</v>
      </c>
      <c r="L108" s="40" t="s">
        <v>436</v>
      </c>
      <c r="M108" s="52" t="s">
        <v>241</v>
      </c>
      <c r="N108" s="48" t="s">
        <v>242</v>
      </c>
    </row>
    <row r="109" spans="1:13" ht="12.75">
      <c r="A109" s="12" t="s">
        <v>70</v>
      </c>
      <c r="B109" s="12">
        <v>461569</v>
      </c>
      <c r="C109" s="12"/>
      <c r="D109" s="12">
        <v>300000</v>
      </c>
      <c r="E109" s="12"/>
      <c r="F109" s="12">
        <v>52402</v>
      </c>
      <c r="G109" s="12"/>
      <c r="H109" s="12">
        <f>+B109+D109-F109</f>
        <v>709167</v>
      </c>
      <c r="J109" s="3">
        <v>709166.8</v>
      </c>
      <c r="K109" s="5">
        <f t="shared" si="6"/>
        <v>-0.19999999995343387</v>
      </c>
      <c r="L109" s="40" t="s">
        <v>491</v>
      </c>
      <c r="M109" s="40" t="s">
        <v>492</v>
      </c>
    </row>
    <row r="110" spans="1:12" ht="12.75">
      <c r="A110" s="12" t="s">
        <v>356</v>
      </c>
      <c r="B110" s="12">
        <v>0</v>
      </c>
      <c r="C110" s="12"/>
      <c r="D110" s="12">
        <v>700000</v>
      </c>
      <c r="E110" s="12"/>
      <c r="F110" s="12">
        <v>0</v>
      </c>
      <c r="G110" s="12"/>
      <c r="H110" s="12">
        <f>+B110+D110-F110</f>
        <v>700000</v>
      </c>
      <c r="J110" s="3">
        <v>700000</v>
      </c>
      <c r="K110" s="5">
        <f t="shared" si="6"/>
        <v>0</v>
      </c>
      <c r="L110" s="40" t="s">
        <v>357</v>
      </c>
    </row>
    <row r="111" spans="1:12" ht="12.75">
      <c r="A111" s="12" t="s">
        <v>55</v>
      </c>
      <c r="B111" s="12">
        <v>441843</v>
      </c>
      <c r="C111" s="12"/>
      <c r="D111" s="12">
        <v>0</v>
      </c>
      <c r="E111" s="12"/>
      <c r="F111" s="12">
        <v>0</v>
      </c>
      <c r="G111" s="12"/>
      <c r="H111" s="12">
        <f t="shared" si="7"/>
        <v>441843</v>
      </c>
      <c r="J111" s="3">
        <v>441842.85</v>
      </c>
      <c r="K111" s="5">
        <f t="shared" si="6"/>
        <v>-0.15000000002328306</v>
      </c>
      <c r="L111" s="40" t="s">
        <v>253</v>
      </c>
    </row>
    <row r="112" spans="1:12" ht="12.75">
      <c r="A112" s="12" t="s">
        <v>364</v>
      </c>
      <c r="B112" s="12">
        <v>0</v>
      </c>
      <c r="C112" s="12"/>
      <c r="D112" s="12">
        <v>300000</v>
      </c>
      <c r="E112" s="12"/>
      <c r="F112" s="12">
        <v>0</v>
      </c>
      <c r="G112" s="12"/>
      <c r="H112" s="12">
        <f t="shared" si="7"/>
        <v>300000</v>
      </c>
      <c r="J112" s="3">
        <v>300000</v>
      </c>
      <c r="K112" s="5">
        <f t="shared" si="6"/>
        <v>0</v>
      </c>
      <c r="L112" s="40" t="s">
        <v>365</v>
      </c>
    </row>
    <row r="113" spans="1:12" ht="12.75">
      <c r="A113" s="12" t="s">
        <v>154</v>
      </c>
      <c r="B113" s="12">
        <v>358</v>
      </c>
      <c r="C113" s="12"/>
      <c r="D113" s="12">
        <v>0</v>
      </c>
      <c r="E113" s="12"/>
      <c r="F113" s="12">
        <v>0</v>
      </c>
      <c r="G113" s="12"/>
      <c r="H113" s="12">
        <f t="shared" si="7"/>
        <v>358</v>
      </c>
      <c r="J113" s="3">
        <v>358.19</v>
      </c>
      <c r="K113" s="5">
        <f t="shared" si="6"/>
        <v>0.18999999999999773</v>
      </c>
      <c r="L113" s="40" t="s">
        <v>466</v>
      </c>
    </row>
    <row r="114" spans="1:12" ht="12.75">
      <c r="A114" s="12" t="s">
        <v>77</v>
      </c>
      <c r="B114" s="12">
        <v>604754</v>
      </c>
      <c r="C114" s="12"/>
      <c r="D114" s="12">
        <v>0</v>
      </c>
      <c r="E114" s="12"/>
      <c r="F114" s="12">
        <v>8482</v>
      </c>
      <c r="G114" s="12"/>
      <c r="H114" s="12">
        <f t="shared" si="7"/>
        <v>596272</v>
      </c>
      <c r="J114" s="3">
        <v>596271.36</v>
      </c>
      <c r="K114" s="5">
        <f t="shared" si="6"/>
        <v>-0.6400000000139698</v>
      </c>
      <c r="L114" s="40" t="s">
        <v>257</v>
      </c>
    </row>
    <row r="115" spans="1:13" ht="12.75">
      <c r="A115" s="12" t="s">
        <v>109</v>
      </c>
      <c r="B115" s="12">
        <v>2254345</v>
      </c>
      <c r="C115" s="12"/>
      <c r="D115" s="12">
        <v>1410000</v>
      </c>
      <c r="E115" s="12"/>
      <c r="F115" s="12">
        <v>0</v>
      </c>
      <c r="G115" s="12"/>
      <c r="H115" s="12">
        <f t="shared" si="7"/>
        <v>3664345</v>
      </c>
      <c r="J115" s="3">
        <v>3664345.49</v>
      </c>
      <c r="K115" s="5">
        <f t="shared" si="6"/>
        <v>0.4900000002235174</v>
      </c>
      <c r="L115" s="40" t="s">
        <v>493</v>
      </c>
      <c r="M115" s="40" t="s">
        <v>494</v>
      </c>
    </row>
    <row r="116" spans="1:12" ht="12.75">
      <c r="A116" s="12" t="s">
        <v>362</v>
      </c>
      <c r="B116" s="12">
        <v>0</v>
      </c>
      <c r="C116" s="12"/>
      <c r="D116" s="12">
        <v>500000</v>
      </c>
      <c r="E116" s="12"/>
      <c r="F116" s="12">
        <v>0</v>
      </c>
      <c r="G116" s="12"/>
      <c r="H116" s="12">
        <f t="shared" si="7"/>
        <v>500000</v>
      </c>
      <c r="J116" s="3">
        <v>500000</v>
      </c>
      <c r="K116" s="5">
        <f t="shared" si="6"/>
        <v>0</v>
      </c>
      <c r="L116" s="40" t="s">
        <v>363</v>
      </c>
    </row>
    <row r="117" spans="1:29" ht="12.75">
      <c r="A117" s="12" t="s">
        <v>324</v>
      </c>
      <c r="B117" s="12">
        <v>30000</v>
      </c>
      <c r="C117" s="12"/>
      <c r="D117" s="12">
        <f>80000</f>
        <v>80000</v>
      </c>
      <c r="E117" s="12"/>
      <c r="F117" s="12">
        <v>25200</v>
      </c>
      <c r="G117" s="12"/>
      <c r="H117" s="12">
        <f t="shared" si="7"/>
        <v>84800</v>
      </c>
      <c r="J117" s="3">
        <v>84800</v>
      </c>
      <c r="K117" s="5">
        <f t="shared" si="6"/>
        <v>0</v>
      </c>
      <c r="L117" s="42" t="s">
        <v>386</v>
      </c>
      <c r="M117" s="40" t="s">
        <v>325</v>
      </c>
      <c r="N117" s="4"/>
      <c r="O117" s="46"/>
      <c r="Z117" s="3"/>
      <c r="AC117" s="17"/>
    </row>
    <row r="118" spans="1:12" ht="12.75">
      <c r="A118" s="12" t="s">
        <v>56</v>
      </c>
      <c r="B118" s="12">
        <v>972692</v>
      </c>
      <c r="C118" s="12"/>
      <c r="D118" s="12">
        <v>0</v>
      </c>
      <c r="E118" s="12"/>
      <c r="F118" s="12">
        <v>604913</v>
      </c>
      <c r="G118" s="12"/>
      <c r="H118" s="12">
        <f t="shared" si="7"/>
        <v>367779</v>
      </c>
      <c r="J118" s="26">
        <v>367778.54</v>
      </c>
      <c r="K118" s="5">
        <f t="shared" si="6"/>
        <v>-0.46000000002095476</v>
      </c>
      <c r="L118" s="40" t="s">
        <v>245</v>
      </c>
    </row>
    <row r="119" spans="1:30" ht="12.75">
      <c r="A119" s="12" t="s">
        <v>95</v>
      </c>
      <c r="B119" s="12">
        <v>219372</v>
      </c>
      <c r="C119" s="12"/>
      <c r="D119" s="12">
        <v>0</v>
      </c>
      <c r="E119" s="12"/>
      <c r="F119" s="12">
        <v>0</v>
      </c>
      <c r="G119" s="12"/>
      <c r="H119" s="12">
        <f>+B119+D119-F119</f>
        <v>219372</v>
      </c>
      <c r="J119" s="3">
        <f>289626.46-H189</f>
        <v>219371.46000000002</v>
      </c>
      <c r="K119" s="5">
        <f t="shared" si="6"/>
        <v>-0.5399999999790452</v>
      </c>
      <c r="L119" s="42" t="s">
        <v>389</v>
      </c>
      <c r="M119" s="50" t="s">
        <v>390</v>
      </c>
      <c r="N119" s="40" t="s">
        <v>391</v>
      </c>
      <c r="O119" s="4"/>
      <c r="P119" s="46"/>
      <c r="Z119" s="3"/>
      <c r="AA119" s="3"/>
      <c r="AC119" s="17"/>
      <c r="AD119" s="17"/>
    </row>
    <row r="120" spans="1:15" ht="12.75">
      <c r="A120" s="12" t="s">
        <v>89</v>
      </c>
      <c r="B120" s="12">
        <v>2567479</v>
      </c>
      <c r="C120" s="12"/>
      <c r="D120" s="12">
        <v>2917</v>
      </c>
      <c r="E120" s="12"/>
      <c r="F120" s="12">
        <v>244373</v>
      </c>
      <c r="G120" s="12"/>
      <c r="H120" s="12">
        <f>+B120+D120-F120</f>
        <v>2326023</v>
      </c>
      <c r="J120" s="3">
        <v>2326023.12</v>
      </c>
      <c r="K120" s="5">
        <f t="shared" si="6"/>
        <v>0.12000000011175871</v>
      </c>
      <c r="L120" s="40" t="s">
        <v>495</v>
      </c>
      <c r="M120" s="40" t="s">
        <v>496</v>
      </c>
      <c r="N120" s="48" t="s">
        <v>377</v>
      </c>
      <c r="O120" s="48" t="s">
        <v>376</v>
      </c>
    </row>
    <row r="121" spans="1:12" ht="12.75">
      <c r="A121" s="12" t="s">
        <v>206</v>
      </c>
      <c r="B121" s="12">
        <v>521837</v>
      </c>
      <c r="C121" s="12"/>
      <c r="D121" s="12">
        <v>0</v>
      </c>
      <c r="E121" s="12"/>
      <c r="F121" s="12">
        <v>520121</v>
      </c>
      <c r="G121" s="12"/>
      <c r="H121" s="12">
        <f>+B121+D121-F121</f>
        <v>1716</v>
      </c>
      <c r="J121" s="3">
        <v>1715.69</v>
      </c>
      <c r="K121" s="5">
        <f t="shared" si="6"/>
        <v>-0.30999999999994543</v>
      </c>
      <c r="L121" s="40" t="s">
        <v>439</v>
      </c>
    </row>
    <row r="122" spans="1:12" ht="12.75">
      <c r="A122" s="12" t="s">
        <v>478</v>
      </c>
      <c r="B122" s="12">
        <v>0</v>
      </c>
      <c r="C122" s="12"/>
      <c r="D122" s="12">
        <v>850000</v>
      </c>
      <c r="E122" s="12"/>
      <c r="F122" s="12">
        <v>0</v>
      </c>
      <c r="G122" s="12"/>
      <c r="H122" s="12">
        <f>+B122+D122-F122</f>
        <v>850000</v>
      </c>
      <c r="J122" s="3">
        <v>850000</v>
      </c>
      <c r="K122" s="5">
        <f t="shared" si="6"/>
        <v>0</v>
      </c>
      <c r="L122" s="40" t="s">
        <v>372</v>
      </c>
    </row>
    <row r="123" spans="1:12" ht="12.75">
      <c r="A123" s="12" t="s">
        <v>126</v>
      </c>
      <c r="B123" s="12">
        <v>2500000</v>
      </c>
      <c r="C123" s="12"/>
      <c r="D123" s="12">
        <v>-300000</v>
      </c>
      <c r="E123" s="12"/>
      <c r="F123" s="12">
        <v>0</v>
      </c>
      <c r="G123" s="12"/>
      <c r="H123" s="12">
        <f>+B123+D123-F123</f>
        <v>2200000</v>
      </c>
      <c r="J123" s="3">
        <v>2200000</v>
      </c>
      <c r="K123" s="5">
        <f t="shared" si="6"/>
        <v>0</v>
      </c>
      <c r="L123" s="40" t="s">
        <v>497</v>
      </c>
    </row>
    <row r="124" spans="1:11" ht="12.75">
      <c r="A124" s="12" t="s">
        <v>104</v>
      </c>
      <c r="B124" s="12"/>
      <c r="C124" s="12"/>
      <c r="D124" s="12"/>
      <c r="E124" s="12"/>
      <c r="F124" s="12"/>
      <c r="G124" s="12"/>
      <c r="H124" s="12"/>
      <c r="K124" s="5">
        <f t="shared" si="6"/>
        <v>0</v>
      </c>
    </row>
    <row r="125" spans="1:31" ht="12.75">
      <c r="A125" s="12" t="s">
        <v>57</v>
      </c>
      <c r="B125" s="12">
        <v>1688763</v>
      </c>
      <c r="C125" s="12"/>
      <c r="D125" s="12">
        <v>263230</v>
      </c>
      <c r="E125" s="12"/>
      <c r="F125" s="12">
        <v>289765</v>
      </c>
      <c r="G125" s="12"/>
      <c r="H125" s="12">
        <f>+B125+D125-F125</f>
        <v>1662228</v>
      </c>
      <c r="J125" s="3">
        <v>1662228.47</v>
      </c>
      <c r="K125" s="5">
        <f t="shared" si="6"/>
        <v>0.4699999999720603</v>
      </c>
      <c r="L125" s="42" t="s">
        <v>498</v>
      </c>
      <c r="M125" s="42" t="s">
        <v>499</v>
      </c>
      <c r="N125" s="42" t="s">
        <v>500</v>
      </c>
      <c r="O125" s="40" t="s">
        <v>501</v>
      </c>
      <c r="P125" s="40" t="s">
        <v>502</v>
      </c>
      <c r="Q125" s="48" t="s">
        <v>355</v>
      </c>
      <c r="Z125" s="3"/>
      <c r="AA125" s="3"/>
      <c r="AB125" s="3"/>
      <c r="AC125" s="17"/>
      <c r="AD125" s="17"/>
      <c r="AE125" s="17"/>
    </row>
    <row r="126" spans="1:12" ht="12.75">
      <c r="A126" s="12" t="s">
        <v>339</v>
      </c>
      <c r="B126" s="12">
        <v>0</v>
      </c>
      <c r="C126" s="12"/>
      <c r="D126" s="12">
        <v>690000</v>
      </c>
      <c r="E126" s="12"/>
      <c r="F126" s="12">
        <v>0</v>
      </c>
      <c r="G126" s="12"/>
      <c r="H126" s="12">
        <f>+B126+D126-F126</f>
        <v>690000</v>
      </c>
      <c r="J126" s="3">
        <v>690000</v>
      </c>
      <c r="K126" s="5">
        <f t="shared" si="6"/>
        <v>0</v>
      </c>
      <c r="L126" s="40" t="s">
        <v>340</v>
      </c>
    </row>
    <row r="127" spans="1:13" ht="12.75">
      <c r="A127" s="12" t="s">
        <v>91</v>
      </c>
      <c r="B127" s="12">
        <v>44085</v>
      </c>
      <c r="C127" s="12"/>
      <c r="D127" s="12">
        <v>0</v>
      </c>
      <c r="E127" s="12"/>
      <c r="F127" s="12">
        <v>0</v>
      </c>
      <c r="G127" s="12"/>
      <c r="H127" s="12">
        <f>+B127+D127-F127</f>
        <v>44085</v>
      </c>
      <c r="J127" s="3">
        <v>44085.1</v>
      </c>
      <c r="K127" s="5">
        <f t="shared" si="6"/>
        <v>0.09999999999854481</v>
      </c>
      <c r="L127" s="40" t="s">
        <v>437</v>
      </c>
      <c r="M127" s="40" t="s">
        <v>438</v>
      </c>
    </row>
    <row r="128" spans="1:8" ht="12.75">
      <c r="A128" s="12" t="s">
        <v>20</v>
      </c>
      <c r="B128" s="12" t="s">
        <v>2</v>
      </c>
      <c r="C128" s="12"/>
      <c r="D128" s="12"/>
      <c r="E128" s="12"/>
      <c r="F128" s="12"/>
      <c r="G128" s="12"/>
      <c r="H128" s="12" t="s">
        <v>2</v>
      </c>
    </row>
    <row r="129" spans="1:13" ht="12.75">
      <c r="A129" s="12" t="s">
        <v>25</v>
      </c>
      <c r="B129" s="12">
        <v>30987</v>
      </c>
      <c r="C129" s="12"/>
      <c r="D129" s="12">
        <v>0</v>
      </c>
      <c r="E129" s="12"/>
      <c r="F129" s="12">
        <v>0</v>
      </c>
      <c r="G129" s="12"/>
      <c r="H129" s="12">
        <f>B129+D129-F129</f>
        <v>30987</v>
      </c>
      <c r="J129" s="3">
        <v>30987.35</v>
      </c>
      <c r="K129" s="5">
        <f t="shared" si="6"/>
        <v>0.3499999999985448</v>
      </c>
      <c r="L129" s="40" t="s">
        <v>441</v>
      </c>
      <c r="M129" s="40" t="s">
        <v>442</v>
      </c>
    </row>
    <row r="130" spans="1:12" ht="12.75">
      <c r="A130" s="12" t="s">
        <v>203</v>
      </c>
      <c r="B130" s="12">
        <v>43759</v>
      </c>
      <c r="C130" s="12"/>
      <c r="D130" s="12">
        <v>0</v>
      </c>
      <c r="E130" s="12"/>
      <c r="F130" s="12">
        <v>0</v>
      </c>
      <c r="G130" s="12"/>
      <c r="H130" s="12">
        <f>B130+D130-F130</f>
        <v>43759</v>
      </c>
      <c r="J130" s="3">
        <v>43759</v>
      </c>
      <c r="K130" s="5">
        <f t="shared" si="6"/>
        <v>0</v>
      </c>
      <c r="L130" s="40" t="s">
        <v>443</v>
      </c>
    </row>
    <row r="131" spans="1:12" ht="12.75">
      <c r="A131" s="12" t="s">
        <v>326</v>
      </c>
      <c r="B131" s="12">
        <v>0</v>
      </c>
      <c r="C131" s="12"/>
      <c r="D131" s="12">
        <v>30000</v>
      </c>
      <c r="E131" s="12"/>
      <c r="F131" s="12">
        <v>0</v>
      </c>
      <c r="G131" s="12"/>
      <c r="H131" s="12">
        <f>B131+D131-F131</f>
        <v>30000</v>
      </c>
      <c r="J131" s="3">
        <v>30000</v>
      </c>
      <c r="K131" s="5">
        <f t="shared" si="6"/>
        <v>0</v>
      </c>
      <c r="L131" s="40" t="s">
        <v>327</v>
      </c>
    </row>
    <row r="132" spans="1:14" ht="12.75">
      <c r="A132" s="12" t="s">
        <v>26</v>
      </c>
      <c r="B132" s="12">
        <v>134353</v>
      </c>
      <c r="C132" s="12"/>
      <c r="D132" s="12">
        <f>125000</f>
        <v>125000</v>
      </c>
      <c r="E132" s="12"/>
      <c r="F132" s="12">
        <v>0</v>
      </c>
      <c r="G132" s="12"/>
      <c r="H132" s="12">
        <f aca="true" t="shared" si="8" ref="H132:H137">+B132+D132-F132</f>
        <v>259353</v>
      </c>
      <c r="J132" s="3">
        <v>259352.85</v>
      </c>
      <c r="K132" s="5">
        <f t="shared" si="6"/>
        <v>-0.14999999999417923</v>
      </c>
      <c r="L132" s="40" t="s">
        <v>444</v>
      </c>
      <c r="M132" s="40" t="s">
        <v>445</v>
      </c>
      <c r="N132" s="48" t="s">
        <v>345</v>
      </c>
    </row>
    <row r="133" spans="1:12" ht="12.75">
      <c r="A133" s="12" t="s">
        <v>106</v>
      </c>
      <c r="B133" s="12">
        <v>44566</v>
      </c>
      <c r="C133" s="12"/>
      <c r="D133" s="12">
        <v>0</v>
      </c>
      <c r="E133" s="12"/>
      <c r="F133" s="12">
        <v>0</v>
      </c>
      <c r="G133" s="12"/>
      <c r="H133" s="12">
        <f t="shared" si="8"/>
        <v>44566</v>
      </c>
      <c r="J133" s="3">
        <v>44565.7</v>
      </c>
      <c r="K133" s="5">
        <f t="shared" si="6"/>
        <v>-0.3000000000029104</v>
      </c>
      <c r="L133" s="40" t="s">
        <v>446</v>
      </c>
    </row>
    <row r="134" spans="1:30" ht="12.75">
      <c r="A134" s="12" t="s">
        <v>27</v>
      </c>
      <c r="B134" s="12">
        <v>136416</v>
      </c>
      <c r="C134" s="12"/>
      <c r="D134" s="12">
        <v>315215</v>
      </c>
      <c r="E134" s="12"/>
      <c r="F134" s="12">
        <v>225215</v>
      </c>
      <c r="G134" s="12"/>
      <c r="H134" s="12">
        <f t="shared" si="8"/>
        <v>226416</v>
      </c>
      <c r="J134" s="3">
        <v>226415.79</v>
      </c>
      <c r="K134" s="5">
        <f t="shared" si="6"/>
        <v>-0.20999999999185093</v>
      </c>
      <c r="L134" s="42" t="s">
        <v>447</v>
      </c>
      <c r="M134" s="42" t="s">
        <v>448</v>
      </c>
      <c r="N134" s="40" t="s">
        <v>449</v>
      </c>
      <c r="O134" s="40" t="s">
        <v>450</v>
      </c>
      <c r="P134" s="48" t="s">
        <v>358</v>
      </c>
      <c r="Q134" s="42" t="s">
        <v>344</v>
      </c>
      <c r="Z134" s="3"/>
      <c r="AA134" s="3"/>
      <c r="AC134" s="17"/>
      <c r="AD134" s="17"/>
    </row>
    <row r="135" spans="1:30" ht="12.75">
      <c r="A135" s="12" t="s">
        <v>28</v>
      </c>
      <c r="B135" s="12">
        <v>0</v>
      </c>
      <c r="C135" s="12"/>
      <c r="D135" s="12">
        <f>52000+75000+25000</f>
        <v>152000</v>
      </c>
      <c r="E135" s="12"/>
      <c r="F135" s="12">
        <f>24155</f>
        <v>24155</v>
      </c>
      <c r="G135" s="12"/>
      <c r="H135" s="12">
        <f t="shared" si="8"/>
        <v>127845</v>
      </c>
      <c r="J135" s="3">
        <v>127845</v>
      </c>
      <c r="K135" s="5">
        <f t="shared" si="6"/>
        <v>0</v>
      </c>
      <c r="L135" s="42" t="s">
        <v>349</v>
      </c>
      <c r="M135" s="42" t="s">
        <v>348</v>
      </c>
      <c r="N135" s="40" t="s">
        <v>347</v>
      </c>
      <c r="O135" s="4"/>
      <c r="P135" s="46"/>
      <c r="Z135" s="3"/>
      <c r="AA135" s="3"/>
      <c r="AC135" s="17"/>
      <c r="AD135" s="17"/>
    </row>
    <row r="136" spans="1:15" ht="12.75">
      <c r="A136" s="12" t="s">
        <v>97</v>
      </c>
      <c r="B136" s="12">
        <v>98864</v>
      </c>
      <c r="C136" s="12"/>
      <c r="D136" s="12">
        <v>-5020</v>
      </c>
      <c r="E136" s="12"/>
      <c r="F136" s="12">
        <v>0</v>
      </c>
      <c r="G136" s="12"/>
      <c r="H136" s="12">
        <f t="shared" si="8"/>
        <v>93844</v>
      </c>
      <c r="J136" s="3">
        <v>93844.01</v>
      </c>
      <c r="K136" s="5">
        <f aca="true" t="shared" si="9" ref="K136:K167">J136-H136</f>
        <v>0.00999999999476131</v>
      </c>
      <c r="L136" s="40" t="s">
        <v>503</v>
      </c>
      <c r="M136" s="40" t="s">
        <v>504</v>
      </c>
      <c r="N136" s="48" t="s">
        <v>505</v>
      </c>
      <c r="O136" s="42" t="s">
        <v>506</v>
      </c>
    </row>
    <row r="137" spans="1:12" ht="12.75">
      <c r="A137" s="12" t="s">
        <v>177</v>
      </c>
      <c r="B137" s="12">
        <v>28707</v>
      </c>
      <c r="C137" s="12"/>
      <c r="D137" s="12">
        <v>50000</v>
      </c>
      <c r="E137" s="12"/>
      <c r="F137" s="12">
        <v>0</v>
      </c>
      <c r="G137" s="12"/>
      <c r="H137" s="12">
        <f t="shared" si="8"/>
        <v>78707</v>
      </c>
      <c r="J137" s="3">
        <v>78707</v>
      </c>
      <c r="K137" s="5">
        <f t="shared" si="9"/>
        <v>0</v>
      </c>
      <c r="L137" s="40" t="s">
        <v>477</v>
      </c>
    </row>
    <row r="138" spans="1:12" ht="12.75">
      <c r="A138" s="12" t="s">
        <v>29</v>
      </c>
      <c r="B138" s="12">
        <v>0</v>
      </c>
      <c r="C138" s="12"/>
      <c r="D138" s="12">
        <v>70000</v>
      </c>
      <c r="E138" s="12"/>
      <c r="F138" s="12">
        <v>64000</v>
      </c>
      <c r="G138" s="12"/>
      <c r="H138" s="12">
        <f aca="true" t="shared" si="10" ref="H138:H151">+B138+D138-F138</f>
        <v>6000</v>
      </c>
      <c r="J138" s="3">
        <v>6000</v>
      </c>
      <c r="K138" s="5">
        <f t="shared" si="9"/>
        <v>0</v>
      </c>
      <c r="L138" s="40" t="s">
        <v>359</v>
      </c>
    </row>
    <row r="139" spans="1:29" ht="12.75">
      <c r="A139" s="12" t="s">
        <v>30</v>
      </c>
      <c r="B139" s="12">
        <v>173816</v>
      </c>
      <c r="C139" s="12"/>
      <c r="D139" s="12">
        <f>25500</f>
        <v>25500</v>
      </c>
      <c r="E139" s="12"/>
      <c r="F139" s="12">
        <v>0</v>
      </c>
      <c r="G139" s="12"/>
      <c r="H139" s="12">
        <f t="shared" si="10"/>
        <v>199316</v>
      </c>
      <c r="J139" s="3">
        <v>199315.72</v>
      </c>
      <c r="K139" s="5">
        <f t="shared" si="9"/>
        <v>-0.27999999999883585</v>
      </c>
      <c r="L139" s="40" t="s">
        <v>473</v>
      </c>
      <c r="M139" s="40" t="s">
        <v>451</v>
      </c>
      <c r="N139" s="40" t="s">
        <v>452</v>
      </c>
      <c r="O139" s="48" t="s">
        <v>330</v>
      </c>
      <c r="Z139" s="3"/>
      <c r="AC139" s="17"/>
    </row>
    <row r="140" spans="1:13" ht="12.75">
      <c r="A140" s="12" t="s">
        <v>102</v>
      </c>
      <c r="B140" s="12">
        <v>875819</v>
      </c>
      <c r="C140" s="12"/>
      <c r="D140" s="12">
        <v>150000</v>
      </c>
      <c r="E140" s="12"/>
      <c r="F140" s="12">
        <v>632</v>
      </c>
      <c r="G140" s="12"/>
      <c r="H140" s="12">
        <f t="shared" si="10"/>
        <v>1025187</v>
      </c>
      <c r="J140" s="3">
        <v>1025187.61</v>
      </c>
      <c r="K140" s="5">
        <f t="shared" si="9"/>
        <v>0.6099999999860302</v>
      </c>
      <c r="L140" s="40" t="s">
        <v>471</v>
      </c>
      <c r="M140" s="40" t="s">
        <v>350</v>
      </c>
    </row>
    <row r="141" spans="1:30" ht="12.75">
      <c r="A141" s="12" t="s">
        <v>71</v>
      </c>
      <c r="B141" s="12">
        <v>58585</v>
      </c>
      <c r="C141" s="12"/>
      <c r="D141" s="12">
        <v>0</v>
      </c>
      <c r="E141" s="12"/>
      <c r="F141" s="12">
        <v>12800</v>
      </c>
      <c r="G141" s="12"/>
      <c r="H141" s="12">
        <f t="shared" si="10"/>
        <v>45785</v>
      </c>
      <c r="J141" s="3">
        <v>45784.69</v>
      </c>
      <c r="K141" s="5">
        <f t="shared" si="9"/>
        <v>-0.3099999999976717</v>
      </c>
      <c r="L141" s="41" t="s">
        <v>474</v>
      </c>
      <c r="M141" s="41" t="s">
        <v>475</v>
      </c>
      <c r="N141" s="40" t="s">
        <v>388</v>
      </c>
      <c r="O141" s="4"/>
      <c r="P141" s="46"/>
      <c r="Z141" s="39"/>
      <c r="AA141" s="39"/>
      <c r="AC141" s="17"/>
      <c r="AD141" s="17"/>
    </row>
    <row r="142" spans="1:12" ht="12.75">
      <c r="A142" s="12" t="s">
        <v>36</v>
      </c>
      <c r="B142" s="12">
        <v>0</v>
      </c>
      <c r="C142" s="12"/>
      <c r="D142" s="12">
        <v>43000</v>
      </c>
      <c r="E142" s="12"/>
      <c r="F142" s="12">
        <v>0</v>
      </c>
      <c r="G142" s="12"/>
      <c r="H142" s="12">
        <f t="shared" si="10"/>
        <v>43000</v>
      </c>
      <c r="J142" s="3">
        <v>43000</v>
      </c>
      <c r="K142" s="5">
        <f t="shared" si="9"/>
        <v>0</v>
      </c>
      <c r="L142" s="40" t="s">
        <v>329</v>
      </c>
    </row>
    <row r="143" spans="1:12" ht="12.75">
      <c r="A143" s="12" t="s">
        <v>101</v>
      </c>
      <c r="B143" s="12">
        <v>12794</v>
      </c>
      <c r="C143" s="12"/>
      <c r="D143" s="12">
        <v>0</v>
      </c>
      <c r="E143" s="12"/>
      <c r="F143" s="12">
        <v>5200</v>
      </c>
      <c r="G143" s="12"/>
      <c r="H143" s="12">
        <f t="shared" si="10"/>
        <v>7594</v>
      </c>
      <c r="J143" s="21">
        <v>7594.36</v>
      </c>
      <c r="K143" s="5">
        <f t="shared" si="9"/>
        <v>0.3599999999996726</v>
      </c>
      <c r="L143" s="40" t="s">
        <v>453</v>
      </c>
    </row>
    <row r="144" spans="1:14" ht="12.75">
      <c r="A144" s="12" t="s">
        <v>44</v>
      </c>
      <c r="B144" s="12">
        <v>21805</v>
      </c>
      <c r="C144" s="12"/>
      <c r="D144" s="12">
        <f>35000</f>
        <v>35000</v>
      </c>
      <c r="E144" s="12"/>
      <c r="F144" s="12">
        <f>19240</f>
        <v>19240</v>
      </c>
      <c r="G144" s="12"/>
      <c r="H144" s="12">
        <f t="shared" si="10"/>
        <v>37565</v>
      </c>
      <c r="J144" s="3">
        <v>37564.67</v>
      </c>
      <c r="K144" s="5">
        <f t="shared" si="9"/>
        <v>-0.33000000000174623</v>
      </c>
      <c r="L144" s="40" t="s">
        <v>479</v>
      </c>
      <c r="M144" s="40" t="s">
        <v>480</v>
      </c>
      <c r="N144" s="48" t="s">
        <v>346</v>
      </c>
    </row>
    <row r="145" spans="1:28" ht="12.75">
      <c r="A145" s="12" t="s">
        <v>64</v>
      </c>
      <c r="B145" s="12">
        <v>2885688</v>
      </c>
      <c r="C145" s="12"/>
      <c r="D145" s="12">
        <v>219862</v>
      </c>
      <c r="E145" s="12"/>
      <c r="F145" s="12">
        <v>321756</v>
      </c>
      <c r="G145" s="12"/>
      <c r="H145" s="12">
        <f t="shared" si="10"/>
        <v>2783794</v>
      </c>
      <c r="J145" s="3">
        <v>2783794.73</v>
      </c>
      <c r="K145" s="5">
        <f t="shared" si="9"/>
        <v>0.7299999999813735</v>
      </c>
      <c r="L145" s="40" t="s">
        <v>490</v>
      </c>
      <c r="M145" s="48" t="s">
        <v>483</v>
      </c>
      <c r="N145" s="42" t="s">
        <v>484</v>
      </c>
      <c r="O145" s="42" t="s">
        <v>485</v>
      </c>
      <c r="P145" s="42" t="s">
        <v>486</v>
      </c>
      <c r="Q145" s="42" t="s">
        <v>487</v>
      </c>
      <c r="R145" s="42" t="s">
        <v>488</v>
      </c>
      <c r="S145" s="42" t="s">
        <v>489</v>
      </c>
      <c r="Y145" s="17"/>
      <c r="AB145" s="16"/>
    </row>
    <row r="146" spans="1:13" ht="12.75">
      <c r="A146" s="12" t="s">
        <v>178</v>
      </c>
      <c r="B146" s="12">
        <v>103398</v>
      </c>
      <c r="C146" s="12"/>
      <c r="D146" s="12">
        <v>0</v>
      </c>
      <c r="E146" s="12"/>
      <c r="F146" s="12">
        <v>3132</v>
      </c>
      <c r="G146" s="12"/>
      <c r="H146" s="12">
        <f t="shared" si="10"/>
        <v>100266</v>
      </c>
      <c r="J146" s="3">
        <v>100266.13</v>
      </c>
      <c r="K146" s="5">
        <f t="shared" si="9"/>
        <v>0.1300000000046566</v>
      </c>
      <c r="L146" s="40" t="s">
        <v>481</v>
      </c>
      <c r="M146" s="40" t="s">
        <v>482</v>
      </c>
    </row>
    <row r="147" spans="1:31" ht="12.75">
      <c r="A147" s="12" t="s">
        <v>166</v>
      </c>
      <c r="B147" s="12">
        <v>1500</v>
      </c>
      <c r="C147" s="12"/>
      <c r="D147" s="12">
        <v>260900</v>
      </c>
      <c r="E147" s="12"/>
      <c r="F147" s="12">
        <f>36900+12470</f>
        <v>49370</v>
      </c>
      <c r="G147" s="12"/>
      <c r="H147" s="12">
        <f t="shared" si="10"/>
        <v>213030</v>
      </c>
      <c r="J147" s="3">
        <v>213030.34</v>
      </c>
      <c r="K147" s="5">
        <f t="shared" si="9"/>
        <v>0.33999999999650754</v>
      </c>
      <c r="L147" s="41" t="s">
        <v>476</v>
      </c>
      <c r="M147" s="42" t="s">
        <v>351</v>
      </c>
      <c r="N147" s="42" t="s">
        <v>341</v>
      </c>
      <c r="O147" s="40" t="s">
        <v>328</v>
      </c>
      <c r="P147" s="4"/>
      <c r="Q147" s="46"/>
      <c r="Z147" s="39"/>
      <c r="AA147" s="3"/>
      <c r="AB147" s="3"/>
      <c r="AC147" s="17"/>
      <c r="AD147" s="17"/>
      <c r="AE147" s="17"/>
    </row>
    <row r="148" spans="1:29" ht="12.75">
      <c r="A148" s="12" t="s">
        <v>110</v>
      </c>
      <c r="B148" s="12">
        <v>0</v>
      </c>
      <c r="C148" s="12"/>
      <c r="D148" s="12">
        <f>75000+65000</f>
        <v>140000</v>
      </c>
      <c r="E148" s="12"/>
      <c r="F148" s="12">
        <v>47604</v>
      </c>
      <c r="G148" s="12"/>
      <c r="H148" s="12">
        <f t="shared" si="10"/>
        <v>92396</v>
      </c>
      <c r="J148" s="3">
        <v>92396.5</v>
      </c>
      <c r="K148" s="5">
        <f t="shared" si="9"/>
        <v>0.5</v>
      </c>
      <c r="L148" s="42" t="s">
        <v>353</v>
      </c>
      <c r="M148" s="40" t="s">
        <v>352</v>
      </c>
      <c r="N148" s="4"/>
      <c r="O148" s="46"/>
      <c r="Z148" s="3"/>
      <c r="AC148" s="17"/>
    </row>
    <row r="149" spans="1:12" ht="12.75">
      <c r="A149" s="12" t="s">
        <v>207</v>
      </c>
      <c r="B149" s="12">
        <v>50000</v>
      </c>
      <c r="C149" s="12"/>
      <c r="D149" s="12">
        <v>18329</v>
      </c>
      <c r="E149" s="12"/>
      <c r="F149" s="12">
        <v>68329</v>
      </c>
      <c r="G149" s="12"/>
      <c r="H149" s="12">
        <f t="shared" si="10"/>
        <v>0</v>
      </c>
      <c r="J149" s="3">
        <v>0</v>
      </c>
      <c r="K149" s="5">
        <f t="shared" si="9"/>
        <v>0</v>
      </c>
      <c r="L149" s="40" t="s">
        <v>440</v>
      </c>
    </row>
    <row r="150" spans="1:12" ht="12.75">
      <c r="A150" s="12" t="s">
        <v>204</v>
      </c>
      <c r="B150" s="12">
        <v>30000</v>
      </c>
      <c r="C150" s="12"/>
      <c r="D150" s="12">
        <v>-122</v>
      </c>
      <c r="E150" s="12"/>
      <c r="F150" s="12">
        <v>29878</v>
      </c>
      <c r="G150" s="12"/>
      <c r="H150" s="12">
        <f t="shared" si="10"/>
        <v>0</v>
      </c>
      <c r="J150" s="3">
        <v>0</v>
      </c>
      <c r="K150" s="5">
        <f t="shared" si="9"/>
        <v>0</v>
      </c>
      <c r="L150" s="40" t="s">
        <v>414</v>
      </c>
    </row>
    <row r="151" spans="1:13" ht="12.75">
      <c r="A151" s="12" t="s">
        <v>31</v>
      </c>
      <c r="B151" s="12">
        <v>2043128</v>
      </c>
      <c r="C151" s="12"/>
      <c r="D151" s="12">
        <v>-299249</v>
      </c>
      <c r="E151" s="12"/>
      <c r="F151" s="12">
        <v>103856</v>
      </c>
      <c r="G151" s="12"/>
      <c r="H151" s="12">
        <f t="shared" si="10"/>
        <v>1640023</v>
      </c>
      <c r="J151" s="3">
        <v>1640023.13</v>
      </c>
      <c r="K151" s="5">
        <f t="shared" si="9"/>
        <v>0.1299999998882413</v>
      </c>
      <c r="L151" s="40" t="s">
        <v>507</v>
      </c>
      <c r="M151" s="40" t="s">
        <v>337</v>
      </c>
    </row>
    <row r="152" spans="1:39" ht="12.75">
      <c r="A152" s="12" t="s">
        <v>98</v>
      </c>
      <c r="B152" s="12">
        <v>3165892</v>
      </c>
      <c r="C152" s="12"/>
      <c r="D152" s="12">
        <v>907414</v>
      </c>
      <c r="E152" s="12"/>
      <c r="F152" s="12">
        <v>-681378</v>
      </c>
      <c r="G152" s="12"/>
      <c r="H152" s="12">
        <f>+B152+D152-F152</f>
        <v>4754684</v>
      </c>
      <c r="J152" s="3">
        <v>4754683.51</v>
      </c>
      <c r="K152" s="5">
        <f t="shared" si="9"/>
        <v>-0.4900000002235174</v>
      </c>
      <c r="L152" s="42" t="s">
        <v>467</v>
      </c>
      <c r="M152" s="42" t="s">
        <v>468</v>
      </c>
      <c r="N152" s="42" t="s">
        <v>469</v>
      </c>
      <c r="O152" s="42" t="s">
        <v>470</v>
      </c>
      <c r="P152" s="42" t="s">
        <v>384</v>
      </c>
      <c r="Q152" s="42" t="s">
        <v>383</v>
      </c>
      <c r="R152" s="42" t="s">
        <v>378</v>
      </c>
      <c r="S152" s="42" t="s">
        <v>373</v>
      </c>
      <c r="T152" s="42" t="s">
        <v>354</v>
      </c>
      <c r="U152" s="42" t="s">
        <v>343</v>
      </c>
      <c r="V152" s="42" t="s">
        <v>334</v>
      </c>
      <c r="W152" s="42" t="s">
        <v>333</v>
      </c>
      <c r="X152" s="40" t="s">
        <v>332</v>
      </c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3"/>
      <c r="AK152" s="17"/>
      <c r="AL152" s="17"/>
      <c r="AM152" s="17"/>
    </row>
    <row r="153" spans="1:11" ht="12.75">
      <c r="A153" s="12" t="s">
        <v>63</v>
      </c>
      <c r="B153" s="12"/>
      <c r="C153" s="12"/>
      <c r="D153" s="12"/>
      <c r="E153" s="12"/>
      <c r="F153" s="12"/>
      <c r="G153" s="12"/>
      <c r="H153" s="12"/>
      <c r="K153" s="5">
        <f t="shared" si="9"/>
        <v>0</v>
      </c>
    </row>
    <row r="154" spans="1:13" ht="12.75">
      <c r="A154" s="12" t="s">
        <v>112</v>
      </c>
      <c r="B154" s="12">
        <v>216334</v>
      </c>
      <c r="C154" s="12"/>
      <c r="D154" s="12">
        <v>0</v>
      </c>
      <c r="E154" s="12"/>
      <c r="F154" s="12">
        <v>0</v>
      </c>
      <c r="G154" s="12"/>
      <c r="H154" s="12">
        <f>+B154+D154-F154</f>
        <v>216334</v>
      </c>
      <c r="J154" s="3">
        <v>216334.32</v>
      </c>
      <c r="K154" s="5">
        <f t="shared" si="9"/>
        <v>0.3200000000069849</v>
      </c>
      <c r="L154" s="40" t="s">
        <v>458</v>
      </c>
      <c r="M154" s="40" t="s">
        <v>459</v>
      </c>
    </row>
    <row r="155" spans="1:12" ht="12.75">
      <c r="A155" s="12" t="s">
        <v>127</v>
      </c>
      <c r="B155" s="12">
        <v>52904</v>
      </c>
      <c r="C155" s="12"/>
      <c r="D155" s="12">
        <v>0</v>
      </c>
      <c r="E155" s="12"/>
      <c r="F155" s="12">
        <v>0</v>
      </c>
      <c r="G155" s="12"/>
      <c r="H155" s="12">
        <f>+B155+D155-F155</f>
        <v>52904</v>
      </c>
      <c r="J155" s="3">
        <v>52903.71</v>
      </c>
      <c r="K155" s="5">
        <f t="shared" si="9"/>
        <v>-0.2900000000008731</v>
      </c>
      <c r="L155" s="40" t="s">
        <v>457</v>
      </c>
    </row>
    <row r="156" spans="1:13" ht="12.75">
      <c r="A156" s="12" t="s">
        <v>113</v>
      </c>
      <c r="B156" s="12">
        <v>5291</v>
      </c>
      <c r="C156" s="12"/>
      <c r="D156" s="12">
        <f>5411</f>
        <v>5411</v>
      </c>
      <c r="E156" s="12"/>
      <c r="F156" s="12">
        <v>0</v>
      </c>
      <c r="G156" s="12"/>
      <c r="H156" s="12">
        <f>+B156+D156-F156</f>
        <v>10702</v>
      </c>
      <c r="J156" s="3">
        <v>10702.33</v>
      </c>
      <c r="K156" s="5">
        <f t="shared" si="9"/>
        <v>0.32999999999992724</v>
      </c>
      <c r="L156" s="40" t="s">
        <v>456</v>
      </c>
      <c r="M156" s="40" t="s">
        <v>342</v>
      </c>
    </row>
    <row r="157" spans="1:32" ht="12.75">
      <c r="A157" s="12" t="s">
        <v>33</v>
      </c>
      <c r="B157" s="12">
        <v>1867071</v>
      </c>
      <c r="C157" s="12"/>
      <c r="D157" s="12">
        <v>2728</v>
      </c>
      <c r="E157" s="12"/>
      <c r="F157" s="12">
        <f>273089-4076</f>
        <v>269013</v>
      </c>
      <c r="G157" s="12"/>
      <c r="H157" s="12">
        <f>+B157+D157-F157</f>
        <v>1600786</v>
      </c>
      <c r="J157" s="3">
        <v>1600786.49</v>
      </c>
      <c r="K157" s="5">
        <f t="shared" si="9"/>
        <v>0.4899999999906868</v>
      </c>
      <c r="L157" s="42" t="s">
        <v>510</v>
      </c>
      <c r="M157" s="42" t="s">
        <v>511</v>
      </c>
      <c r="N157" s="42" t="s">
        <v>512</v>
      </c>
      <c r="O157" s="42" t="s">
        <v>513</v>
      </c>
      <c r="P157" s="40" t="s">
        <v>514</v>
      </c>
      <c r="Q157" s="40" t="s">
        <v>515</v>
      </c>
      <c r="R157" s="48" t="s">
        <v>516</v>
      </c>
      <c r="S157" s="42" t="s">
        <v>517</v>
      </c>
      <c r="T157" s="42" t="s">
        <v>518</v>
      </c>
      <c r="U157" s="42" t="s">
        <v>519</v>
      </c>
      <c r="V157" s="57" t="s">
        <v>520</v>
      </c>
      <c r="W157" s="42" t="s">
        <v>521</v>
      </c>
      <c r="X157" s="42" t="s">
        <v>381</v>
      </c>
      <c r="Y157" s="42" t="s">
        <v>522</v>
      </c>
      <c r="Z157" s="51" t="s">
        <v>338</v>
      </c>
      <c r="AA157" s="51" t="s">
        <v>331</v>
      </c>
      <c r="AB157" s="3"/>
      <c r="AC157" s="3"/>
      <c r="AD157" s="17"/>
      <c r="AE157" s="17"/>
      <c r="AF157" s="17"/>
    </row>
    <row r="158" spans="1:12" ht="12.75">
      <c r="A158" s="12" t="s">
        <v>43</v>
      </c>
      <c r="B158" s="12">
        <v>81607</v>
      </c>
      <c r="C158" s="12"/>
      <c r="D158" s="12">
        <v>0</v>
      </c>
      <c r="E158" s="12"/>
      <c r="F158" s="12">
        <v>0</v>
      </c>
      <c r="G158" s="12"/>
      <c r="H158" s="12">
        <f>+B158+D158-F158</f>
        <v>81607</v>
      </c>
      <c r="J158" s="3">
        <v>81606.81</v>
      </c>
      <c r="K158" s="5">
        <f t="shared" si="9"/>
        <v>-0.1900000000023283</v>
      </c>
      <c r="L158" s="40" t="s">
        <v>455</v>
      </c>
    </row>
    <row r="159" spans="1:11" ht="12.75">
      <c r="A159" s="12" t="s">
        <v>76</v>
      </c>
      <c r="B159" s="12"/>
      <c r="C159" s="12"/>
      <c r="D159" s="12"/>
      <c r="E159" s="12"/>
      <c r="F159" s="12"/>
      <c r="G159" s="12"/>
      <c r="H159" s="12"/>
      <c r="K159" s="5">
        <f t="shared" si="9"/>
        <v>0</v>
      </c>
    </row>
    <row r="160" spans="1:12" ht="12.75">
      <c r="A160" s="12" t="s">
        <v>111</v>
      </c>
      <c r="B160" s="12">
        <v>2537</v>
      </c>
      <c r="C160" s="12"/>
      <c r="D160" s="12">
        <v>-2537</v>
      </c>
      <c r="E160" s="12"/>
      <c r="F160" s="12">
        <v>0</v>
      </c>
      <c r="G160" s="12"/>
      <c r="H160" s="12">
        <f aca="true" t="shared" si="11" ref="H160:H166">+B160+D160-F160</f>
        <v>0</v>
      </c>
      <c r="J160" s="3">
        <v>0</v>
      </c>
      <c r="K160" s="5">
        <f t="shared" si="9"/>
        <v>0</v>
      </c>
      <c r="L160" s="40" t="s">
        <v>508</v>
      </c>
    </row>
    <row r="161" spans="1:12" ht="12.75">
      <c r="A161" s="12" t="s">
        <v>24</v>
      </c>
      <c r="B161" s="12">
        <v>364646</v>
      </c>
      <c r="C161" s="12"/>
      <c r="D161" s="12">
        <v>0</v>
      </c>
      <c r="E161" s="12"/>
      <c r="F161" s="12">
        <v>0</v>
      </c>
      <c r="G161" s="12"/>
      <c r="H161" s="12">
        <f t="shared" si="11"/>
        <v>364646</v>
      </c>
      <c r="J161" s="3">
        <v>364646.31</v>
      </c>
      <c r="K161" s="5">
        <f t="shared" si="9"/>
        <v>0.3099999999976717</v>
      </c>
      <c r="L161" s="40" t="s">
        <v>525</v>
      </c>
    </row>
    <row r="162" spans="1:12" ht="12.75">
      <c r="A162" s="12" t="s">
        <v>179</v>
      </c>
      <c r="B162" s="12">
        <v>211</v>
      </c>
      <c r="C162" s="12"/>
      <c r="D162" s="12">
        <v>0</v>
      </c>
      <c r="E162" s="12"/>
      <c r="F162" s="12">
        <v>0</v>
      </c>
      <c r="G162" s="12"/>
      <c r="H162" s="12">
        <f t="shared" si="11"/>
        <v>211</v>
      </c>
      <c r="J162" s="3">
        <v>210.85</v>
      </c>
      <c r="K162" s="5">
        <f t="shared" si="9"/>
        <v>-0.15000000000000568</v>
      </c>
      <c r="L162" s="40" t="s">
        <v>472</v>
      </c>
    </row>
    <row r="163" spans="1:12" ht="12.75">
      <c r="A163" s="12" t="s">
        <v>79</v>
      </c>
      <c r="B163" s="12">
        <v>320042</v>
      </c>
      <c r="C163" s="12"/>
      <c r="D163" s="12">
        <v>0</v>
      </c>
      <c r="E163" s="12"/>
      <c r="F163" s="12">
        <v>0</v>
      </c>
      <c r="G163" s="12"/>
      <c r="H163" s="12">
        <f t="shared" si="11"/>
        <v>320042</v>
      </c>
      <c r="J163" s="3">
        <f>348839.8-28798</f>
        <v>320041.8</v>
      </c>
      <c r="K163" s="5">
        <f t="shared" si="9"/>
        <v>-0.20000000001164153</v>
      </c>
      <c r="L163" s="40" t="s">
        <v>526</v>
      </c>
    </row>
    <row r="164" spans="1:12" ht="12.75">
      <c r="A164" s="12" t="s">
        <v>78</v>
      </c>
      <c r="B164" s="12">
        <v>133421</v>
      </c>
      <c r="C164" s="12"/>
      <c r="D164" s="12">
        <v>0</v>
      </c>
      <c r="E164" s="12"/>
      <c r="F164" s="12">
        <v>0</v>
      </c>
      <c r="G164" s="12"/>
      <c r="H164" s="12">
        <f t="shared" si="11"/>
        <v>133421</v>
      </c>
      <c r="J164" s="3">
        <v>133421</v>
      </c>
      <c r="K164" s="5">
        <f t="shared" si="9"/>
        <v>0</v>
      </c>
      <c r="L164" s="40" t="s">
        <v>509</v>
      </c>
    </row>
    <row r="165" spans="1:12" ht="12.75">
      <c r="A165" s="12" t="s">
        <v>99</v>
      </c>
      <c r="B165" s="12">
        <v>443505</v>
      </c>
      <c r="C165" s="12"/>
      <c r="D165" s="12">
        <v>0</v>
      </c>
      <c r="E165" s="12"/>
      <c r="F165" s="12">
        <v>0</v>
      </c>
      <c r="G165" s="12"/>
      <c r="H165" s="12">
        <f t="shared" si="11"/>
        <v>443505</v>
      </c>
      <c r="J165" s="3">
        <v>443504.46</v>
      </c>
      <c r="K165" s="5">
        <f t="shared" si="9"/>
        <v>-0.5399999999790452</v>
      </c>
      <c r="L165" s="40" t="s">
        <v>523</v>
      </c>
    </row>
    <row r="166" spans="1:12" ht="12.75">
      <c r="A166" s="12" t="s">
        <v>80</v>
      </c>
      <c r="B166" s="12">
        <v>43366</v>
      </c>
      <c r="C166" s="12"/>
      <c r="D166" s="12">
        <v>0</v>
      </c>
      <c r="E166" s="12"/>
      <c r="F166" s="12">
        <v>0</v>
      </c>
      <c r="G166" s="12"/>
      <c r="H166" s="12">
        <f t="shared" si="11"/>
        <v>43366</v>
      </c>
      <c r="J166" s="3">
        <v>43365.69</v>
      </c>
      <c r="K166" s="5">
        <f t="shared" si="9"/>
        <v>-0.3099999999976717</v>
      </c>
      <c r="L166" s="40" t="s">
        <v>524</v>
      </c>
    </row>
    <row r="167" spans="1:11" ht="12.75">
      <c r="A167" s="12" t="s">
        <v>34</v>
      </c>
      <c r="B167" s="12"/>
      <c r="C167" s="12"/>
      <c r="D167" s="12"/>
      <c r="E167" s="12"/>
      <c r="F167" s="12"/>
      <c r="G167" s="12"/>
      <c r="H167" s="12"/>
      <c r="K167" s="5">
        <f t="shared" si="9"/>
        <v>0</v>
      </c>
    </row>
    <row r="168" spans="1:12" ht="12.75">
      <c r="A168" s="12" t="s">
        <v>32</v>
      </c>
      <c r="B168" s="12">
        <v>423521</v>
      </c>
      <c r="C168" s="12"/>
      <c r="D168" s="12">
        <v>530000</v>
      </c>
      <c r="E168" s="12"/>
      <c r="F168" s="12">
        <v>0</v>
      </c>
      <c r="G168" s="12"/>
      <c r="H168" s="12">
        <f aca="true" t="shared" si="12" ref="H168:H173">+B168+D168-F168</f>
        <v>953521</v>
      </c>
      <c r="J168" s="3">
        <v>953520.75</v>
      </c>
      <c r="K168" s="5">
        <f aca="true" t="shared" si="13" ref="K168:K174">J168-H168</f>
        <v>-0.25</v>
      </c>
      <c r="L168" s="40" t="s">
        <v>230</v>
      </c>
    </row>
    <row r="169" spans="1:30" ht="12.75">
      <c r="A169" s="12" t="s">
        <v>13</v>
      </c>
      <c r="B169" s="12">
        <f>1799687-800000</f>
        <v>999687</v>
      </c>
      <c r="C169" s="12"/>
      <c r="D169" s="12">
        <v>-720000</v>
      </c>
      <c r="E169" s="12"/>
      <c r="F169" s="12">
        <f>64190-26694</f>
        <v>37496</v>
      </c>
      <c r="G169" s="12"/>
      <c r="H169" s="12">
        <f t="shared" si="12"/>
        <v>242191</v>
      </c>
      <c r="J169" s="3">
        <v>242190.78</v>
      </c>
      <c r="K169" s="5">
        <f t="shared" si="13"/>
        <v>-0.22000000000116415</v>
      </c>
      <c r="L169" s="42" t="s">
        <v>393</v>
      </c>
      <c r="M169" s="42" t="s">
        <v>394</v>
      </c>
      <c r="N169" s="40" t="s">
        <v>395</v>
      </c>
      <c r="O169" s="40" t="s">
        <v>461</v>
      </c>
      <c r="P169" s="48" t="s">
        <v>462</v>
      </c>
      <c r="Q169" s="42" t="s">
        <v>463</v>
      </c>
      <c r="R169" s="42" t="s">
        <v>460</v>
      </c>
      <c r="S169" s="42" t="s">
        <v>464</v>
      </c>
      <c r="T169" s="42" t="s">
        <v>465</v>
      </c>
      <c r="Z169" s="3"/>
      <c r="AA169" s="3"/>
      <c r="AC169" s="17"/>
      <c r="AD169" s="17"/>
    </row>
    <row r="170" spans="1:12" ht="12.75">
      <c r="A170" s="12" t="s">
        <v>237</v>
      </c>
      <c r="B170" s="12">
        <v>800000</v>
      </c>
      <c r="C170" s="12"/>
      <c r="D170" s="12">
        <v>500000</v>
      </c>
      <c r="E170" s="12"/>
      <c r="F170" s="12">
        <v>2065</v>
      </c>
      <c r="G170" s="12"/>
      <c r="H170" s="12">
        <f t="shared" si="12"/>
        <v>1297935</v>
      </c>
      <c r="J170" s="3">
        <v>1297935</v>
      </c>
      <c r="K170" s="5">
        <f t="shared" si="13"/>
        <v>0</v>
      </c>
      <c r="L170" s="40" t="s">
        <v>238</v>
      </c>
    </row>
    <row r="171" spans="1:12" ht="12.75">
      <c r="A171" s="12" t="s">
        <v>35</v>
      </c>
      <c r="B171" s="12">
        <v>85068</v>
      </c>
      <c r="C171" s="12"/>
      <c r="D171" s="12">
        <v>0</v>
      </c>
      <c r="E171" s="12"/>
      <c r="F171" s="12">
        <v>0</v>
      </c>
      <c r="G171" s="12"/>
      <c r="H171" s="12">
        <f t="shared" si="12"/>
        <v>85068</v>
      </c>
      <c r="J171" s="3">
        <v>85068.49</v>
      </c>
      <c r="K171" s="5">
        <f t="shared" si="13"/>
        <v>0.4900000000052387</v>
      </c>
      <c r="L171" s="52" t="s">
        <v>392</v>
      </c>
    </row>
    <row r="172" spans="1:12" ht="12.75">
      <c r="A172" s="12" t="s">
        <v>114</v>
      </c>
      <c r="B172" s="12">
        <v>21625</v>
      </c>
      <c r="C172" s="12"/>
      <c r="D172" s="12">
        <v>30000</v>
      </c>
      <c r="E172" s="12"/>
      <c r="F172" s="12">
        <v>0</v>
      </c>
      <c r="G172" s="12"/>
      <c r="H172" s="12">
        <f t="shared" si="12"/>
        <v>51625</v>
      </c>
      <c r="J172" s="3">
        <v>51624.9</v>
      </c>
      <c r="K172" s="5">
        <f t="shared" si="13"/>
        <v>-0.09999999999854481</v>
      </c>
      <c r="L172" s="40" t="s">
        <v>236</v>
      </c>
    </row>
    <row r="173" spans="1:12" ht="12.75">
      <c r="A173" s="12" t="s">
        <v>205</v>
      </c>
      <c r="B173" s="12">
        <v>345431</v>
      </c>
      <c r="C173" s="12"/>
      <c r="D173" s="12">
        <v>5000</v>
      </c>
      <c r="E173" s="12"/>
      <c r="F173" s="12">
        <v>341519</v>
      </c>
      <c r="G173" s="12"/>
      <c r="H173" s="12">
        <f t="shared" si="12"/>
        <v>8912</v>
      </c>
      <c r="J173" s="3">
        <v>8912.79</v>
      </c>
      <c r="K173" s="5">
        <f t="shared" si="13"/>
        <v>0.7900000000008731</v>
      </c>
      <c r="L173" s="40" t="s">
        <v>385</v>
      </c>
    </row>
    <row r="174" spans="1:11" ht="12.75">
      <c r="A174" s="12" t="s">
        <v>47</v>
      </c>
      <c r="B174" s="24">
        <f>SUM(B74:B173)</f>
        <v>82966564</v>
      </c>
      <c r="C174" s="12"/>
      <c r="D174" s="24">
        <f>SUM(D74:D173)</f>
        <v>7227886</v>
      </c>
      <c r="E174" s="12"/>
      <c r="F174" s="24">
        <f>SUM(F74:F173)</f>
        <v>16256546</v>
      </c>
      <c r="G174" s="12"/>
      <c r="H174" s="24">
        <f>SUM(H74:H173)</f>
        <v>73937904</v>
      </c>
      <c r="J174" s="58">
        <f>SUM(J74:J173)</f>
        <v>73937904.82999997</v>
      </c>
      <c r="K174" s="5">
        <f t="shared" si="13"/>
        <v>0.8299999684095383</v>
      </c>
    </row>
    <row r="175" spans="1:11" ht="12.75">
      <c r="A175" s="12" t="s">
        <v>48</v>
      </c>
      <c r="B175" s="27">
        <f>+B71+B174</f>
        <v>99748369</v>
      </c>
      <c r="C175" s="12"/>
      <c r="D175" s="27">
        <f>+D71+D174</f>
        <v>11087149</v>
      </c>
      <c r="E175" s="12"/>
      <c r="F175" s="27">
        <f>+F71+F174</f>
        <v>16821279</v>
      </c>
      <c r="G175" s="12"/>
      <c r="H175" s="28">
        <f>+B175+D175-F175</f>
        <v>94014239</v>
      </c>
      <c r="J175" s="3">
        <f>J174+J71</f>
        <v>94014240.40999997</v>
      </c>
      <c r="K175" s="5">
        <f>J175-H175</f>
        <v>1.409999966621399</v>
      </c>
    </row>
    <row r="176" spans="1:8" ht="12.75">
      <c r="A176" s="12"/>
      <c r="B176" s="12"/>
      <c r="C176" s="12"/>
      <c r="D176" s="12"/>
      <c r="E176" s="12"/>
      <c r="F176" s="12"/>
      <c r="G176" s="12"/>
      <c r="H176" s="12"/>
    </row>
    <row r="177" spans="1:8" ht="12.75">
      <c r="A177" s="12" t="s">
        <v>37</v>
      </c>
      <c r="B177" s="12"/>
      <c r="C177" s="18"/>
      <c r="D177" s="12"/>
      <c r="E177" s="12"/>
      <c r="F177" s="12"/>
      <c r="G177" s="12"/>
      <c r="H177" s="12"/>
    </row>
    <row r="178" spans="1:12" ht="12.75">
      <c r="A178" s="12" t="s">
        <v>38</v>
      </c>
      <c r="B178" s="12">
        <v>11302</v>
      </c>
      <c r="C178" s="18"/>
      <c r="D178" s="12">
        <v>0</v>
      </c>
      <c r="E178" s="12"/>
      <c r="F178" s="12">
        <v>11302</v>
      </c>
      <c r="G178" s="12"/>
      <c r="H178" s="12">
        <f>+B178+D178-F178</f>
        <v>0</v>
      </c>
      <c r="J178" s="3">
        <v>0</v>
      </c>
      <c r="K178" s="5">
        <f>J178-H178</f>
        <v>0</v>
      </c>
      <c r="L178" s="29" t="s">
        <v>258</v>
      </c>
    </row>
    <row r="179" spans="1:12" ht="12.75">
      <c r="A179" s="12" t="s">
        <v>197</v>
      </c>
      <c r="B179" s="12">
        <v>814570</v>
      </c>
      <c r="C179" s="18"/>
      <c r="D179" s="12">
        <v>0</v>
      </c>
      <c r="E179" s="12"/>
      <c r="F179" s="12">
        <v>407285</v>
      </c>
      <c r="G179" s="12"/>
      <c r="H179" s="12">
        <f aca="true" t="shared" si="14" ref="H179:H197">+B179+D179-F179</f>
        <v>407285</v>
      </c>
      <c r="J179" s="3">
        <v>407285</v>
      </c>
      <c r="K179" s="5">
        <f aca="true" t="shared" si="15" ref="K179:K197">J179-H179</f>
        <v>0</v>
      </c>
      <c r="L179" s="40" t="s">
        <v>454</v>
      </c>
    </row>
    <row r="180" spans="1:25" ht="12.75">
      <c r="A180" s="12" t="s">
        <v>532</v>
      </c>
      <c r="B180" s="12">
        <v>74961</v>
      </c>
      <c r="C180" s="18"/>
      <c r="D180" s="12">
        <v>0</v>
      </c>
      <c r="E180" s="12"/>
      <c r="F180" s="12">
        <v>0</v>
      </c>
      <c r="G180" s="12"/>
      <c r="H180" s="12">
        <f t="shared" si="14"/>
        <v>74961</v>
      </c>
      <c r="J180" s="3">
        <v>74961</v>
      </c>
      <c r="K180" s="5">
        <f t="shared" si="15"/>
        <v>0</v>
      </c>
      <c r="L180" s="52" t="s">
        <v>431</v>
      </c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</row>
    <row r="181" spans="1:13" ht="12.75">
      <c r="A181" s="12" t="s">
        <v>67</v>
      </c>
      <c r="B181" s="12">
        <v>1526413</v>
      </c>
      <c r="C181" s="18"/>
      <c r="D181" s="12">
        <v>1164195</v>
      </c>
      <c r="E181" s="12"/>
      <c r="F181" s="12">
        <v>13</v>
      </c>
      <c r="G181" s="12"/>
      <c r="H181" s="12">
        <f t="shared" si="14"/>
        <v>2690595</v>
      </c>
      <c r="J181" s="3">
        <v>2690594.35</v>
      </c>
      <c r="K181" s="5">
        <f t="shared" si="15"/>
        <v>-0.6499999999068677</v>
      </c>
      <c r="L181" s="40" t="s">
        <v>527</v>
      </c>
      <c r="M181" s="40" t="s">
        <v>528</v>
      </c>
    </row>
    <row r="182" spans="1:12" ht="12.75">
      <c r="A182" s="12" t="s">
        <v>169</v>
      </c>
      <c r="B182" s="12">
        <v>20820</v>
      </c>
      <c r="C182" s="18"/>
      <c r="D182" s="12">
        <v>0</v>
      </c>
      <c r="E182" s="12"/>
      <c r="F182" s="12">
        <v>0</v>
      </c>
      <c r="G182" s="12"/>
      <c r="H182" s="12">
        <f t="shared" si="14"/>
        <v>20820</v>
      </c>
      <c r="J182" s="3">
        <v>20820</v>
      </c>
      <c r="K182" s="5">
        <f t="shared" si="15"/>
        <v>0</v>
      </c>
      <c r="L182" s="40" t="s">
        <v>529</v>
      </c>
    </row>
    <row r="183" spans="1:12" ht="12.75">
      <c r="A183" s="12" t="s">
        <v>66</v>
      </c>
      <c r="B183" s="12">
        <v>140000</v>
      </c>
      <c r="C183" s="18"/>
      <c r="D183" s="12">
        <v>0</v>
      </c>
      <c r="E183" s="12"/>
      <c r="F183" s="12">
        <v>0</v>
      </c>
      <c r="G183" s="12"/>
      <c r="H183" s="12">
        <f t="shared" si="14"/>
        <v>140000</v>
      </c>
      <c r="J183" s="3">
        <v>140000</v>
      </c>
      <c r="K183" s="5">
        <f t="shared" si="15"/>
        <v>0</v>
      </c>
      <c r="L183" s="52" t="s">
        <v>254</v>
      </c>
    </row>
    <row r="184" spans="1:25" ht="12.75">
      <c r="A184" s="12" t="s">
        <v>533</v>
      </c>
      <c r="B184" s="12">
        <v>3336848</v>
      </c>
      <c r="C184" s="18"/>
      <c r="D184" s="12">
        <v>0</v>
      </c>
      <c r="E184" s="12"/>
      <c r="F184" s="12">
        <v>3336848</v>
      </c>
      <c r="G184" s="12"/>
      <c r="H184" s="12">
        <f t="shared" si="14"/>
        <v>0</v>
      </c>
      <c r="J184" s="3">
        <v>0</v>
      </c>
      <c r="K184" s="5">
        <f t="shared" si="15"/>
        <v>0</v>
      </c>
      <c r="L184" s="52" t="s">
        <v>241</v>
      </c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</row>
    <row r="185" spans="1:25" ht="12.75">
      <c r="A185" s="12" t="s">
        <v>39</v>
      </c>
      <c r="B185" s="12">
        <v>146640</v>
      </c>
      <c r="C185" s="18"/>
      <c r="D185" s="12">
        <v>0</v>
      </c>
      <c r="E185" s="12"/>
      <c r="F185" s="12">
        <v>146640</v>
      </c>
      <c r="G185" s="12"/>
      <c r="H185" s="12">
        <f t="shared" si="14"/>
        <v>0</v>
      </c>
      <c r="J185" s="3">
        <v>0</v>
      </c>
      <c r="K185" s="5">
        <f t="shared" si="15"/>
        <v>0</v>
      </c>
      <c r="L185" s="55" t="s">
        <v>317</v>
      </c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</row>
    <row r="186" spans="1:12" ht="12.75">
      <c r="A186" s="12" t="s">
        <v>170</v>
      </c>
      <c r="B186" s="12">
        <v>418152</v>
      </c>
      <c r="C186" s="18"/>
      <c r="D186" s="12">
        <v>209076</v>
      </c>
      <c r="E186" s="12"/>
      <c r="F186" s="12">
        <v>0</v>
      </c>
      <c r="G186" s="12"/>
      <c r="H186" s="12">
        <f t="shared" si="14"/>
        <v>627228</v>
      </c>
      <c r="J186" s="3">
        <v>627228</v>
      </c>
      <c r="K186" s="5">
        <f t="shared" si="15"/>
        <v>0</v>
      </c>
      <c r="L186" s="22" t="s">
        <v>244</v>
      </c>
    </row>
    <row r="187" spans="1:12" ht="12.75">
      <c r="A187" s="12" t="s">
        <v>360</v>
      </c>
      <c r="B187" s="12">
        <v>0</v>
      </c>
      <c r="C187" s="18"/>
      <c r="D187" s="12">
        <v>4959</v>
      </c>
      <c r="E187" s="12"/>
      <c r="F187" s="12">
        <v>4959</v>
      </c>
      <c r="G187" s="12"/>
      <c r="H187" s="12">
        <f t="shared" si="14"/>
        <v>0</v>
      </c>
      <c r="J187" s="3">
        <v>0</v>
      </c>
      <c r="K187" s="5">
        <f t="shared" si="15"/>
        <v>0</v>
      </c>
      <c r="L187" s="22" t="s">
        <v>361</v>
      </c>
    </row>
    <row r="188" spans="1:12" ht="12.75">
      <c r="A188" s="12" t="s">
        <v>171</v>
      </c>
      <c r="B188" s="12">
        <v>1471314</v>
      </c>
      <c r="C188" s="18"/>
      <c r="D188" s="12">
        <v>0</v>
      </c>
      <c r="E188" s="12"/>
      <c r="F188" s="12">
        <v>0</v>
      </c>
      <c r="G188" s="12"/>
      <c r="H188" s="12">
        <f t="shared" si="14"/>
        <v>1471314</v>
      </c>
      <c r="J188" s="3">
        <v>1471313.56</v>
      </c>
      <c r="K188" s="5">
        <f t="shared" si="15"/>
        <v>-0.43999999994412065</v>
      </c>
      <c r="L188" s="22" t="s">
        <v>243</v>
      </c>
    </row>
    <row r="189" spans="1:12" ht="12.75">
      <c r="A189" s="12" t="s">
        <v>95</v>
      </c>
      <c r="B189" s="12">
        <v>106583</v>
      </c>
      <c r="C189" s="18"/>
      <c r="D189" s="12">
        <v>0</v>
      </c>
      <c r="E189" s="12"/>
      <c r="F189" s="12">
        <v>36328</v>
      </c>
      <c r="G189" s="12"/>
      <c r="H189" s="12">
        <f t="shared" si="14"/>
        <v>70255</v>
      </c>
      <c r="J189" s="3">
        <v>70254</v>
      </c>
      <c r="K189" s="5">
        <f t="shared" si="15"/>
        <v>-1</v>
      </c>
      <c r="L189" s="23" t="s">
        <v>390</v>
      </c>
    </row>
    <row r="190" spans="1:12" ht="12.75">
      <c r="A190" s="12" t="s">
        <v>115</v>
      </c>
      <c r="B190" s="12">
        <v>20416</v>
      </c>
      <c r="C190" s="18"/>
      <c r="D190" s="12">
        <v>410</v>
      </c>
      <c r="E190" s="12"/>
      <c r="F190" s="12">
        <v>0</v>
      </c>
      <c r="G190" s="12"/>
      <c r="H190" s="12">
        <f t="shared" si="14"/>
        <v>20826</v>
      </c>
      <c r="J190" s="3">
        <v>20825.8</v>
      </c>
      <c r="K190" s="5">
        <f t="shared" si="15"/>
        <v>-0.2000000000007276</v>
      </c>
      <c r="L190" s="22" t="s">
        <v>217</v>
      </c>
    </row>
    <row r="191" spans="1:25" ht="12.75">
      <c r="A191" s="12" t="s">
        <v>117</v>
      </c>
      <c r="B191" s="12">
        <v>200622</v>
      </c>
      <c r="C191" s="18"/>
      <c r="D191" s="12">
        <v>0</v>
      </c>
      <c r="E191" s="12"/>
      <c r="F191" s="12">
        <v>0</v>
      </c>
      <c r="G191" s="12"/>
      <c r="H191" s="12">
        <f t="shared" si="14"/>
        <v>200622</v>
      </c>
      <c r="J191" s="3">
        <v>200622</v>
      </c>
      <c r="K191" s="5">
        <f t="shared" si="15"/>
        <v>0</v>
      </c>
      <c r="L191" s="56" t="s">
        <v>411</v>
      </c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12" ht="12.75">
      <c r="A192" s="12" t="s">
        <v>86</v>
      </c>
      <c r="B192" s="12">
        <v>28798</v>
      </c>
      <c r="C192" s="18"/>
      <c r="D192" s="12">
        <v>0</v>
      </c>
      <c r="E192" s="12"/>
      <c r="F192" s="12">
        <v>0</v>
      </c>
      <c r="G192" s="12"/>
      <c r="H192" s="12">
        <f t="shared" si="14"/>
        <v>28798</v>
      </c>
      <c r="J192" s="3">
        <v>28798</v>
      </c>
      <c r="K192" s="5">
        <f t="shared" si="15"/>
        <v>0</v>
      </c>
      <c r="L192" s="52" t="s">
        <v>526</v>
      </c>
    </row>
    <row r="193" spans="1:12" ht="12.75">
      <c r="A193" s="12" t="s">
        <v>68</v>
      </c>
      <c r="B193" s="12">
        <v>12943</v>
      </c>
      <c r="C193" s="18"/>
      <c r="D193" s="12">
        <v>0</v>
      </c>
      <c r="E193" s="12"/>
      <c r="F193" s="12">
        <v>0</v>
      </c>
      <c r="G193" s="12"/>
      <c r="H193" s="12">
        <f t="shared" si="14"/>
        <v>12943</v>
      </c>
      <c r="J193" s="3">
        <v>12943.08</v>
      </c>
      <c r="K193" s="5">
        <f t="shared" si="15"/>
        <v>0.07999999999992724</v>
      </c>
      <c r="L193" s="29" t="s">
        <v>251</v>
      </c>
    </row>
    <row r="194" spans="1:12" ht="12.75">
      <c r="A194" s="12" t="s">
        <v>65</v>
      </c>
      <c r="B194" s="12">
        <v>4076</v>
      </c>
      <c r="C194" s="18"/>
      <c r="D194" s="12">
        <v>0</v>
      </c>
      <c r="E194" s="12"/>
      <c r="F194" s="12">
        <v>4076</v>
      </c>
      <c r="G194" s="12"/>
      <c r="H194" s="12">
        <f t="shared" si="14"/>
        <v>0</v>
      </c>
      <c r="J194" s="21">
        <v>0</v>
      </c>
      <c r="K194" s="5">
        <f t="shared" si="15"/>
        <v>0</v>
      </c>
      <c r="L194" s="52" t="s">
        <v>535</v>
      </c>
    </row>
    <row r="195" spans="1:12" ht="12.75">
      <c r="A195" s="12" t="s">
        <v>96</v>
      </c>
      <c r="B195" s="12">
        <v>26694</v>
      </c>
      <c r="C195" s="18"/>
      <c r="D195" s="12">
        <v>0</v>
      </c>
      <c r="E195" s="12"/>
      <c r="F195" s="12">
        <v>26694</v>
      </c>
      <c r="G195" s="12"/>
      <c r="H195" s="12">
        <f t="shared" si="14"/>
        <v>0</v>
      </c>
      <c r="J195" s="3">
        <v>0</v>
      </c>
      <c r="K195" s="5">
        <f t="shared" si="15"/>
        <v>0</v>
      </c>
      <c r="L195" s="52" t="s">
        <v>460</v>
      </c>
    </row>
    <row r="196" spans="1:25" ht="12.75">
      <c r="A196" s="12" t="s">
        <v>534</v>
      </c>
      <c r="B196" s="12">
        <v>3467</v>
      </c>
      <c r="C196" s="18"/>
      <c r="D196" s="12">
        <v>0</v>
      </c>
      <c r="E196" s="12"/>
      <c r="F196" s="12">
        <v>0</v>
      </c>
      <c r="G196" s="12"/>
      <c r="H196" s="12">
        <f t="shared" si="14"/>
        <v>3467</v>
      </c>
      <c r="J196" s="3">
        <v>3467</v>
      </c>
      <c r="K196" s="5">
        <f t="shared" si="15"/>
        <v>0</v>
      </c>
      <c r="L196" s="52" t="s">
        <v>392</v>
      </c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5" ht="12.75">
      <c r="A197" s="12" t="s">
        <v>118</v>
      </c>
      <c r="B197" s="12">
        <v>3469220</v>
      </c>
      <c r="C197" s="18"/>
      <c r="D197" s="12">
        <v>824531</v>
      </c>
      <c r="E197" s="12"/>
      <c r="F197" s="12">
        <v>0</v>
      </c>
      <c r="G197" s="12"/>
      <c r="H197" s="12">
        <f t="shared" si="14"/>
        <v>4293751</v>
      </c>
      <c r="J197" s="3">
        <v>4293751.32</v>
      </c>
      <c r="K197" s="5">
        <f t="shared" si="15"/>
        <v>0.3200000002980232</v>
      </c>
      <c r="L197" s="40" t="s">
        <v>413</v>
      </c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11" ht="12.75">
      <c r="A198" s="12" t="s">
        <v>42</v>
      </c>
      <c r="B198" s="24">
        <f>SUM(B178:B197)</f>
        <v>11833839</v>
      </c>
      <c r="C198" s="12"/>
      <c r="D198" s="24">
        <f>SUM(D178:D197)</f>
        <v>2203171</v>
      </c>
      <c r="E198" s="12"/>
      <c r="F198" s="24">
        <f>SUM(F178:F197)</f>
        <v>3974145</v>
      </c>
      <c r="G198" s="12"/>
      <c r="H198" s="24">
        <f>SUM(H178:H197)</f>
        <v>10062865</v>
      </c>
      <c r="J198" s="58">
        <f>SUM(J178:J197)</f>
        <v>10062863.11</v>
      </c>
      <c r="K198" s="5">
        <f>J198-H198</f>
        <v>-1.8900000005960464</v>
      </c>
    </row>
    <row r="199" spans="1:8" ht="12.75">
      <c r="A199" s="12"/>
      <c r="B199" s="14"/>
      <c r="C199" s="12"/>
      <c r="D199" s="14"/>
      <c r="E199" s="12"/>
      <c r="F199" s="14"/>
      <c r="G199" s="12"/>
      <c r="H199" s="30"/>
    </row>
    <row r="200" spans="1:8" ht="12.75">
      <c r="A200" s="12" t="s">
        <v>130</v>
      </c>
      <c r="B200" s="12"/>
      <c r="C200" s="18"/>
      <c r="D200" s="12"/>
      <c r="E200" s="12"/>
      <c r="F200" s="12"/>
      <c r="G200" s="12"/>
      <c r="H200" s="12"/>
    </row>
    <row r="201" spans="1:12" ht="12.75">
      <c r="A201" s="12" t="s">
        <v>131</v>
      </c>
      <c r="B201" s="12">
        <v>1560906</v>
      </c>
      <c r="C201" s="18"/>
      <c r="D201" s="12">
        <v>31374</v>
      </c>
      <c r="E201" s="12"/>
      <c r="F201" s="12">
        <v>0</v>
      </c>
      <c r="G201" s="12"/>
      <c r="H201" s="12">
        <f aca="true" t="shared" si="16" ref="H201:H228">+B201+D201-F201</f>
        <v>1592280</v>
      </c>
      <c r="J201" s="3">
        <v>1592280</v>
      </c>
      <c r="K201" s="5">
        <f>J201-H201</f>
        <v>0</v>
      </c>
      <c r="L201" s="25" t="s">
        <v>282</v>
      </c>
    </row>
    <row r="202" spans="1:12" ht="12.75">
      <c r="A202" s="12" t="s">
        <v>161</v>
      </c>
      <c r="B202" s="12">
        <v>755334</v>
      </c>
      <c r="C202" s="18"/>
      <c r="D202" s="12">
        <v>15182</v>
      </c>
      <c r="E202" s="12"/>
      <c r="F202" s="12">
        <v>0</v>
      </c>
      <c r="G202" s="12"/>
      <c r="H202" s="12">
        <f t="shared" si="16"/>
        <v>770516</v>
      </c>
      <c r="J202" s="3">
        <v>770516</v>
      </c>
      <c r="K202" s="5">
        <f aca="true" t="shared" si="17" ref="K202:K229">J202-H202</f>
        <v>0</v>
      </c>
      <c r="L202" s="25" t="s">
        <v>271</v>
      </c>
    </row>
    <row r="203" spans="1:12" ht="12.75">
      <c r="A203" s="12" t="s">
        <v>132</v>
      </c>
      <c r="B203" s="12">
        <v>1757410</v>
      </c>
      <c r="C203" s="18"/>
      <c r="D203" s="12">
        <v>35324</v>
      </c>
      <c r="E203" s="12"/>
      <c r="F203" s="12">
        <v>0</v>
      </c>
      <c r="G203" s="12"/>
      <c r="H203" s="12">
        <f t="shared" si="16"/>
        <v>1792734</v>
      </c>
      <c r="J203" s="3">
        <v>1792734</v>
      </c>
      <c r="K203" s="5">
        <f t="shared" si="17"/>
        <v>0</v>
      </c>
      <c r="L203" s="25" t="s">
        <v>280</v>
      </c>
    </row>
    <row r="204" spans="1:12" ht="12.75">
      <c r="A204" s="12" t="s">
        <v>133</v>
      </c>
      <c r="B204" s="12">
        <v>483643</v>
      </c>
      <c r="C204" s="18"/>
      <c r="D204" s="12">
        <v>9721</v>
      </c>
      <c r="E204" s="12"/>
      <c r="F204" s="12">
        <v>0</v>
      </c>
      <c r="G204" s="12"/>
      <c r="H204" s="12">
        <f t="shared" si="16"/>
        <v>493364</v>
      </c>
      <c r="J204" s="3">
        <v>493364</v>
      </c>
      <c r="K204" s="5">
        <f t="shared" si="17"/>
        <v>0</v>
      </c>
      <c r="L204" s="25" t="s">
        <v>281</v>
      </c>
    </row>
    <row r="205" spans="1:14" ht="12.75">
      <c r="A205" s="12" t="s">
        <v>134</v>
      </c>
      <c r="B205" s="12">
        <v>1063715</v>
      </c>
      <c r="C205" s="18"/>
      <c r="D205" s="12">
        <f>5553+1122+14706</f>
        <v>21381</v>
      </c>
      <c r="E205" s="12"/>
      <c r="F205" s="12"/>
      <c r="G205" s="12"/>
      <c r="H205" s="12">
        <f t="shared" si="16"/>
        <v>1085096</v>
      </c>
      <c r="J205" s="3">
        <f>56922.72+746353+281820</f>
        <v>1085095.72</v>
      </c>
      <c r="K205" s="5">
        <f t="shared" si="17"/>
        <v>-0.2800000000279397</v>
      </c>
      <c r="L205" s="25" t="s">
        <v>287</v>
      </c>
      <c r="M205" s="25" t="s">
        <v>288</v>
      </c>
      <c r="N205" s="25" t="s">
        <v>286</v>
      </c>
    </row>
    <row r="206" spans="1:12" ht="12.75">
      <c r="A206" s="12" t="s">
        <v>92</v>
      </c>
      <c r="B206" s="12">
        <v>390660</v>
      </c>
      <c r="C206" s="18"/>
      <c r="D206" s="12">
        <v>7852</v>
      </c>
      <c r="E206" s="12"/>
      <c r="F206" s="12">
        <v>0</v>
      </c>
      <c r="G206" s="12"/>
      <c r="H206" s="12">
        <f t="shared" si="16"/>
        <v>398512</v>
      </c>
      <c r="J206" s="3">
        <v>398512</v>
      </c>
      <c r="K206" s="5">
        <f t="shared" si="17"/>
        <v>0</v>
      </c>
      <c r="L206" s="22" t="s">
        <v>239</v>
      </c>
    </row>
    <row r="207" spans="1:12" ht="12.75">
      <c r="A207" s="12" t="s">
        <v>191</v>
      </c>
      <c r="B207" s="12">
        <v>369200</v>
      </c>
      <c r="C207" s="18"/>
      <c r="D207" s="12">
        <v>386941</v>
      </c>
      <c r="E207" s="12"/>
      <c r="F207" s="12">
        <v>0</v>
      </c>
      <c r="G207" s="12"/>
      <c r="H207" s="12">
        <f t="shared" si="16"/>
        <v>756141</v>
      </c>
      <c r="J207" s="3">
        <v>756141.43</v>
      </c>
      <c r="K207" s="5">
        <f t="shared" si="17"/>
        <v>0.43000000005122274</v>
      </c>
      <c r="L207" s="22" t="s">
        <v>285</v>
      </c>
    </row>
    <row r="208" spans="1:15" ht="12.75">
      <c r="A208" s="12" t="s">
        <v>135</v>
      </c>
      <c r="B208" s="12">
        <v>691506</v>
      </c>
      <c r="C208" s="18"/>
      <c r="D208" s="12">
        <f>245+230398+149+243</f>
        <v>231035</v>
      </c>
      <c r="E208" s="12"/>
      <c r="F208" s="12"/>
      <c r="G208" s="12"/>
      <c r="H208" s="12">
        <f t="shared" si="16"/>
        <v>922541</v>
      </c>
      <c r="J208" s="3">
        <f>12414.76+890253.36+7542+12331</f>
        <v>922541.12</v>
      </c>
      <c r="K208" s="5">
        <f t="shared" si="17"/>
        <v>0.11999999999534339</v>
      </c>
      <c r="L208" s="25" t="s">
        <v>396</v>
      </c>
      <c r="M208" s="25" t="s">
        <v>397</v>
      </c>
      <c r="N208" s="25" t="s">
        <v>398</v>
      </c>
      <c r="O208" s="31" t="s">
        <v>399</v>
      </c>
    </row>
    <row r="209" spans="1:12" ht="12.75">
      <c r="A209" s="12" t="s">
        <v>162</v>
      </c>
      <c r="B209" s="12">
        <v>68946</v>
      </c>
      <c r="C209" s="18"/>
      <c r="D209" s="12">
        <v>1386</v>
      </c>
      <c r="E209" s="12"/>
      <c r="F209" s="12">
        <v>0</v>
      </c>
      <c r="G209" s="12"/>
      <c r="H209" s="12">
        <f t="shared" si="16"/>
        <v>70332</v>
      </c>
      <c r="J209" s="3">
        <v>70332</v>
      </c>
      <c r="K209" s="5">
        <f t="shared" si="17"/>
        <v>0</v>
      </c>
      <c r="L209" s="25" t="s">
        <v>274</v>
      </c>
    </row>
    <row r="210" spans="1:12" ht="12.75">
      <c r="A210" s="12" t="s">
        <v>155</v>
      </c>
      <c r="B210" s="12">
        <v>55814</v>
      </c>
      <c r="C210" s="18"/>
      <c r="D210" s="12">
        <v>1122</v>
      </c>
      <c r="E210" s="12"/>
      <c r="F210" s="12">
        <v>0</v>
      </c>
      <c r="G210" s="12"/>
      <c r="H210" s="12">
        <f t="shared" si="16"/>
        <v>56936</v>
      </c>
      <c r="J210" s="3">
        <v>56935.91</v>
      </c>
      <c r="K210" s="5">
        <f t="shared" si="17"/>
        <v>-0.08999999999650754</v>
      </c>
      <c r="L210" s="22" t="s">
        <v>218</v>
      </c>
    </row>
    <row r="211" spans="1:12" ht="12.75">
      <c r="A211" s="12" t="s">
        <v>136</v>
      </c>
      <c r="B211" s="12">
        <v>414537</v>
      </c>
      <c r="C211" s="18"/>
      <c r="D211" s="12">
        <v>8332</v>
      </c>
      <c r="E211" s="12"/>
      <c r="F211" s="12">
        <v>0</v>
      </c>
      <c r="G211" s="12"/>
      <c r="H211" s="12">
        <f t="shared" si="16"/>
        <v>422869</v>
      </c>
      <c r="J211" s="3">
        <v>422869</v>
      </c>
      <c r="K211" s="5">
        <f t="shared" si="17"/>
        <v>0</v>
      </c>
      <c r="L211" s="22" t="s">
        <v>214</v>
      </c>
    </row>
    <row r="212" spans="1:12" ht="12.75">
      <c r="A212" s="12" t="s">
        <v>370</v>
      </c>
      <c r="B212" s="12">
        <v>0</v>
      </c>
      <c r="C212" s="18"/>
      <c r="D212" s="12">
        <v>110553</v>
      </c>
      <c r="E212" s="12"/>
      <c r="F212" s="12">
        <v>0</v>
      </c>
      <c r="G212" s="12"/>
      <c r="H212" s="12">
        <f t="shared" si="16"/>
        <v>110553</v>
      </c>
      <c r="J212" s="3">
        <v>110553</v>
      </c>
      <c r="K212" s="5">
        <f t="shared" si="17"/>
        <v>0</v>
      </c>
      <c r="L212" s="22" t="s">
        <v>371</v>
      </c>
    </row>
    <row r="213" spans="1:12" ht="12.75">
      <c r="A213" s="12" t="s">
        <v>163</v>
      </c>
      <c r="B213" s="12">
        <v>861684</v>
      </c>
      <c r="C213" s="18"/>
      <c r="D213" s="12">
        <v>17320</v>
      </c>
      <c r="E213" s="12"/>
      <c r="F213" s="12">
        <v>0</v>
      </c>
      <c r="G213" s="12"/>
      <c r="H213" s="12">
        <f t="shared" si="16"/>
        <v>879004</v>
      </c>
      <c r="J213" s="3">
        <v>879004</v>
      </c>
      <c r="K213" s="5">
        <f t="shared" si="17"/>
        <v>0</v>
      </c>
      <c r="L213" s="25" t="s">
        <v>273</v>
      </c>
    </row>
    <row r="214" spans="1:22" ht="12.75">
      <c r="A214" s="12" t="s">
        <v>137</v>
      </c>
      <c r="B214" s="12">
        <v>3308255</v>
      </c>
      <c r="C214" s="18"/>
      <c r="D214" s="12">
        <f>263896+101500+156-54-4287-47359</f>
        <v>313852</v>
      </c>
      <c r="E214" s="12"/>
      <c r="F214" s="12">
        <f>0</f>
        <v>0</v>
      </c>
      <c r="G214" s="12"/>
      <c r="H214" s="12">
        <f t="shared" si="16"/>
        <v>3622107</v>
      </c>
      <c r="J214" s="3">
        <f>1086786.27+2527407.47+7913.47</f>
        <v>3622107.2100000004</v>
      </c>
      <c r="K214" s="5">
        <f t="shared" si="17"/>
        <v>0.21000000042840838</v>
      </c>
      <c r="L214" s="25" t="s">
        <v>289</v>
      </c>
      <c r="M214" s="25" t="s">
        <v>290</v>
      </c>
      <c r="N214" s="25" t="s">
        <v>291</v>
      </c>
      <c r="O214" s="31" t="s">
        <v>292</v>
      </c>
      <c r="P214" s="31" t="s">
        <v>293</v>
      </c>
      <c r="Q214" s="31" t="s">
        <v>294</v>
      </c>
      <c r="R214" s="31"/>
      <c r="S214" s="31"/>
      <c r="T214" s="31"/>
      <c r="U214" s="31"/>
      <c r="V214" s="31"/>
    </row>
    <row r="215" spans="1:12" ht="12.75">
      <c r="A215" s="12" t="s">
        <v>138</v>
      </c>
      <c r="B215" s="12">
        <v>9043</v>
      </c>
      <c r="C215" s="18"/>
      <c r="D215" s="12">
        <v>182</v>
      </c>
      <c r="E215" s="12"/>
      <c r="F215" s="12">
        <v>0</v>
      </c>
      <c r="G215" s="12"/>
      <c r="H215" s="12">
        <f t="shared" si="16"/>
        <v>9225</v>
      </c>
      <c r="J215" s="3">
        <v>9224.68</v>
      </c>
      <c r="K215" s="5">
        <f t="shared" si="17"/>
        <v>-0.31999999999970896</v>
      </c>
      <c r="L215" s="25" t="s">
        <v>277</v>
      </c>
    </row>
    <row r="216" spans="1:12" ht="12.75">
      <c r="A216" s="12" t="s">
        <v>139</v>
      </c>
      <c r="B216" s="12">
        <v>516981</v>
      </c>
      <c r="C216" s="18"/>
      <c r="D216" s="12">
        <v>10391</v>
      </c>
      <c r="E216" s="12"/>
      <c r="F216" s="12">
        <v>0</v>
      </c>
      <c r="G216" s="12"/>
      <c r="H216" s="12">
        <f t="shared" si="16"/>
        <v>527372</v>
      </c>
      <c r="J216" s="3">
        <v>527372</v>
      </c>
      <c r="K216" s="5">
        <f t="shared" si="17"/>
        <v>0</v>
      </c>
      <c r="L216" s="22" t="s">
        <v>249</v>
      </c>
    </row>
    <row r="217" spans="1:12" ht="12.75">
      <c r="A217" s="12" t="s">
        <v>140</v>
      </c>
      <c r="B217" s="12">
        <v>134194</v>
      </c>
      <c r="C217" s="18"/>
      <c r="D217" s="12">
        <v>2697</v>
      </c>
      <c r="E217" s="12"/>
      <c r="F217" s="12">
        <v>0</v>
      </c>
      <c r="G217" s="12"/>
      <c r="H217" s="12">
        <f t="shared" si="16"/>
        <v>136891</v>
      </c>
      <c r="J217" s="3">
        <v>136891</v>
      </c>
      <c r="K217" s="5">
        <f t="shared" si="17"/>
        <v>0</v>
      </c>
      <c r="L217" s="25" t="s">
        <v>278</v>
      </c>
    </row>
    <row r="218" spans="1:12" ht="12.75">
      <c r="A218" s="12" t="s">
        <v>141</v>
      </c>
      <c r="B218" s="12">
        <v>732667</v>
      </c>
      <c r="C218" s="18"/>
      <c r="D218" s="12">
        <v>14727</v>
      </c>
      <c r="E218" s="12"/>
      <c r="F218" s="12">
        <v>0</v>
      </c>
      <c r="G218" s="12"/>
      <c r="H218" s="12">
        <f t="shared" si="16"/>
        <v>747394</v>
      </c>
      <c r="J218" s="3">
        <v>747394</v>
      </c>
      <c r="K218" s="5">
        <f t="shared" si="17"/>
        <v>0</v>
      </c>
      <c r="L218" s="25" t="s">
        <v>279</v>
      </c>
    </row>
    <row r="219" spans="1:12" ht="12.75">
      <c r="A219" s="12" t="s">
        <v>142</v>
      </c>
      <c r="B219" s="12">
        <v>229810</v>
      </c>
      <c r="C219" s="18"/>
      <c r="D219" s="12">
        <v>4619</v>
      </c>
      <c r="E219" s="12"/>
      <c r="F219" s="12">
        <v>0</v>
      </c>
      <c r="G219" s="12"/>
      <c r="H219" s="12">
        <f t="shared" si="16"/>
        <v>234429</v>
      </c>
      <c r="J219" s="3">
        <v>234429</v>
      </c>
      <c r="K219" s="5">
        <f t="shared" si="17"/>
        <v>0</v>
      </c>
      <c r="L219" s="25" t="s">
        <v>284</v>
      </c>
    </row>
    <row r="220" spans="1:12" ht="12.75">
      <c r="A220" s="12" t="s">
        <v>143</v>
      </c>
      <c r="B220" s="12">
        <v>942041</v>
      </c>
      <c r="C220" s="18"/>
      <c r="D220" s="12">
        <v>18935</v>
      </c>
      <c r="E220" s="12"/>
      <c r="F220" s="12">
        <v>0</v>
      </c>
      <c r="G220" s="12"/>
      <c r="H220" s="12">
        <f t="shared" si="16"/>
        <v>960976</v>
      </c>
      <c r="J220" s="3">
        <v>960976</v>
      </c>
      <c r="K220" s="5">
        <f t="shared" si="17"/>
        <v>0</v>
      </c>
      <c r="L220" s="25" t="s">
        <v>283</v>
      </c>
    </row>
    <row r="221" spans="1:12" ht="12.75">
      <c r="A221" s="12" t="s">
        <v>144</v>
      </c>
      <c r="B221" s="12">
        <v>1463270</v>
      </c>
      <c r="C221" s="18"/>
      <c r="D221" s="12">
        <v>29412</v>
      </c>
      <c r="E221" s="12"/>
      <c r="F221" s="12">
        <v>0</v>
      </c>
      <c r="G221" s="12"/>
      <c r="H221" s="12">
        <f t="shared" si="16"/>
        <v>1492682</v>
      </c>
      <c r="J221" s="3">
        <v>1492682</v>
      </c>
      <c r="K221" s="5">
        <f t="shared" si="17"/>
        <v>0</v>
      </c>
      <c r="L221" s="25" t="s">
        <v>272</v>
      </c>
    </row>
    <row r="222" spans="1:12" ht="12.75">
      <c r="A222" s="12" t="s">
        <v>145</v>
      </c>
      <c r="B222" s="12">
        <v>201639</v>
      </c>
      <c r="C222" s="18"/>
      <c r="D222" s="12">
        <v>22213</v>
      </c>
      <c r="E222" s="12"/>
      <c r="F222" s="12">
        <v>0</v>
      </c>
      <c r="G222" s="12"/>
      <c r="H222" s="12">
        <f t="shared" si="16"/>
        <v>223852</v>
      </c>
      <c r="J222" s="3">
        <v>223852.38</v>
      </c>
      <c r="K222" s="5">
        <f t="shared" si="17"/>
        <v>0.3800000000046566</v>
      </c>
      <c r="L222" s="22" t="s">
        <v>233</v>
      </c>
    </row>
    <row r="223" spans="1:12" ht="12.75">
      <c r="A223" s="12" t="s">
        <v>160</v>
      </c>
      <c r="B223" s="12">
        <v>6583349</v>
      </c>
      <c r="C223" s="18"/>
      <c r="D223" s="12">
        <v>132325</v>
      </c>
      <c r="E223" s="12"/>
      <c r="F223" s="12">
        <v>0</v>
      </c>
      <c r="G223" s="12"/>
      <c r="H223" s="12">
        <f t="shared" si="16"/>
        <v>6715674</v>
      </c>
      <c r="J223" s="3">
        <v>6715674</v>
      </c>
      <c r="K223" s="5">
        <f t="shared" si="17"/>
        <v>0</v>
      </c>
      <c r="L223" s="22" t="s">
        <v>229</v>
      </c>
    </row>
    <row r="224" spans="1:12" ht="12.75">
      <c r="A224" s="12" t="s">
        <v>146</v>
      </c>
      <c r="B224" s="12">
        <v>436602</v>
      </c>
      <c r="C224" s="18"/>
      <c r="D224" s="12">
        <v>44546</v>
      </c>
      <c r="E224" s="12"/>
      <c r="F224" s="12">
        <v>0</v>
      </c>
      <c r="G224" s="12"/>
      <c r="H224" s="12">
        <f t="shared" si="16"/>
        <v>481148</v>
      </c>
      <c r="J224" s="3">
        <v>481147.79</v>
      </c>
      <c r="K224" s="5">
        <f t="shared" si="17"/>
        <v>-0.21000000002095476</v>
      </c>
      <c r="L224" s="22" t="s">
        <v>232</v>
      </c>
    </row>
    <row r="225" spans="1:16" ht="12.75">
      <c r="A225" s="12" t="s">
        <v>147</v>
      </c>
      <c r="B225" s="12">
        <v>252835</v>
      </c>
      <c r="C225" s="18"/>
      <c r="D225" s="12">
        <f>151048+905+3414-1922+336</f>
        <v>153781</v>
      </c>
      <c r="E225" s="12"/>
      <c r="F225" s="12">
        <f>185692+60296</f>
        <v>245988</v>
      </c>
      <c r="G225" s="12"/>
      <c r="H225" s="12">
        <f t="shared" si="16"/>
        <v>160628</v>
      </c>
      <c r="J225" s="3">
        <f>38569.09+45945+75695.98+417.73</f>
        <v>160627.80000000002</v>
      </c>
      <c r="K225" s="5">
        <f t="shared" si="17"/>
        <v>-0.1999999999825377</v>
      </c>
      <c r="L225" s="25" t="s">
        <v>400</v>
      </c>
      <c r="M225" s="25" t="s">
        <v>401</v>
      </c>
      <c r="N225" s="25" t="s">
        <v>402</v>
      </c>
      <c r="O225" s="31" t="s">
        <v>403</v>
      </c>
      <c r="P225" s="31" t="s">
        <v>404</v>
      </c>
    </row>
    <row r="226" spans="1:16" ht="12.75">
      <c r="A226" s="12" t="s">
        <v>148</v>
      </c>
      <c r="B226" s="12">
        <v>1087261</v>
      </c>
      <c r="C226" s="18"/>
      <c r="D226" s="12">
        <f>5+12833+3667+1048+3028</f>
        <v>20581</v>
      </c>
      <c r="E226" s="12"/>
      <c r="F226" s="12">
        <f>84477</f>
        <v>84477</v>
      </c>
      <c r="G226" s="12"/>
      <c r="H226" s="12">
        <f t="shared" si="16"/>
        <v>1023365</v>
      </c>
      <c r="J226" s="3">
        <f>256+651271.23+186107.5+32062.5+153668</f>
        <v>1023365.23</v>
      </c>
      <c r="K226" s="5">
        <f t="shared" si="17"/>
        <v>0.22999999998137355</v>
      </c>
      <c r="L226" s="25" t="s">
        <v>405</v>
      </c>
      <c r="M226" s="25" t="s">
        <v>406</v>
      </c>
      <c r="N226" s="25" t="s">
        <v>407</v>
      </c>
      <c r="O226" s="31" t="s">
        <v>408</v>
      </c>
      <c r="P226" s="31" t="s">
        <v>409</v>
      </c>
    </row>
    <row r="227" spans="1:12" ht="12.75">
      <c r="A227" s="12" t="s">
        <v>149</v>
      </c>
      <c r="B227" s="12">
        <v>268301</v>
      </c>
      <c r="C227" s="18"/>
      <c r="D227" s="12">
        <v>5393</v>
      </c>
      <c r="E227" s="12"/>
      <c r="F227" s="12">
        <v>0</v>
      </c>
      <c r="G227" s="12"/>
      <c r="H227" s="12">
        <f t="shared" si="16"/>
        <v>273694</v>
      </c>
      <c r="J227" s="3">
        <v>273694</v>
      </c>
      <c r="K227" s="5">
        <f t="shared" si="17"/>
        <v>0</v>
      </c>
      <c r="L227" s="25" t="s">
        <v>275</v>
      </c>
    </row>
    <row r="228" spans="1:12" ht="12.75">
      <c r="A228" s="12" t="s">
        <v>150</v>
      </c>
      <c r="B228" s="12">
        <v>354511</v>
      </c>
      <c r="C228" s="18"/>
      <c r="D228" s="12">
        <v>7126</v>
      </c>
      <c r="E228" s="12"/>
      <c r="F228" s="12">
        <v>0</v>
      </c>
      <c r="G228" s="12"/>
      <c r="H228" s="12">
        <f t="shared" si="16"/>
        <v>361637</v>
      </c>
      <c r="J228" s="3">
        <v>361637</v>
      </c>
      <c r="K228" s="5">
        <f t="shared" si="17"/>
        <v>0</v>
      </c>
      <c r="L228" s="25" t="s">
        <v>276</v>
      </c>
    </row>
    <row r="229" spans="1:11" ht="12.75">
      <c r="A229" s="12" t="s">
        <v>151</v>
      </c>
      <c r="B229" s="24">
        <f>SUM(B201:B228)</f>
        <v>24994114</v>
      </c>
      <c r="C229" s="12"/>
      <c r="D229" s="24">
        <f>SUM(D201:D228)</f>
        <v>1658303</v>
      </c>
      <c r="E229" s="12"/>
      <c r="F229" s="24">
        <f>SUM(F201:F228)</f>
        <v>330465</v>
      </c>
      <c r="G229" s="12"/>
      <c r="H229" s="24">
        <f>SUM(H201:H228)</f>
        <v>26321952</v>
      </c>
      <c r="J229" s="58">
        <f>SUM(J201:J228)</f>
        <v>26321952.27</v>
      </c>
      <c r="K229" s="5">
        <f t="shared" si="17"/>
        <v>0.26999999955296516</v>
      </c>
    </row>
    <row r="230" spans="1:8" ht="12.75">
      <c r="A230" s="12"/>
      <c r="B230" s="12"/>
      <c r="C230" s="18"/>
      <c r="D230" s="12"/>
      <c r="E230" s="12"/>
      <c r="F230" s="12"/>
      <c r="G230" s="12"/>
      <c r="H230" s="12"/>
    </row>
    <row r="231" spans="1:8" ht="12.75">
      <c r="A231" s="12" t="s">
        <v>58</v>
      </c>
      <c r="B231" s="14"/>
      <c r="C231" s="12"/>
      <c r="D231" s="14"/>
      <c r="E231" s="12"/>
      <c r="F231" s="14"/>
      <c r="G231" s="12"/>
      <c r="H231" s="14"/>
    </row>
    <row r="232" spans="1:12" ht="12.75">
      <c r="A232" s="12" t="s">
        <v>189</v>
      </c>
      <c r="B232" s="14">
        <v>1388000</v>
      </c>
      <c r="C232" s="12"/>
      <c r="D232" s="14">
        <v>506437</v>
      </c>
      <c r="E232" s="12"/>
      <c r="F232" s="14">
        <v>1894437</v>
      </c>
      <c r="G232" s="12"/>
      <c r="H232" s="14">
        <f aca="true" t="shared" si="18" ref="H232:H251">+B232+D232-F232</f>
        <v>0</v>
      </c>
      <c r="J232" s="3">
        <v>0</v>
      </c>
      <c r="K232" s="5">
        <f>J232-H232</f>
        <v>0</v>
      </c>
      <c r="L232" s="4" t="s">
        <v>299</v>
      </c>
    </row>
    <row r="233" spans="1:12" ht="12.75">
      <c r="A233" s="12" t="s">
        <v>188</v>
      </c>
      <c r="B233" s="14">
        <v>1802276</v>
      </c>
      <c r="C233" s="12"/>
      <c r="D233" s="14">
        <v>532901</v>
      </c>
      <c r="E233" s="12"/>
      <c r="F233" s="14">
        <v>2235177</v>
      </c>
      <c r="G233" s="12"/>
      <c r="H233" s="14">
        <f t="shared" si="18"/>
        <v>100000</v>
      </c>
      <c r="J233" s="3">
        <v>100000</v>
      </c>
      <c r="K233" s="5">
        <f aca="true" t="shared" si="19" ref="K233:K252">J233-H233</f>
        <v>0</v>
      </c>
      <c r="L233" s="25" t="s">
        <v>302</v>
      </c>
    </row>
    <row r="234" spans="1:12" ht="12.75">
      <c r="A234" s="12" t="s">
        <v>73</v>
      </c>
      <c r="B234" s="14">
        <v>536125</v>
      </c>
      <c r="C234" s="12"/>
      <c r="D234" s="14">
        <v>0</v>
      </c>
      <c r="E234" s="12"/>
      <c r="F234" s="14">
        <v>0</v>
      </c>
      <c r="G234" s="12"/>
      <c r="H234" s="14">
        <f aca="true" t="shared" si="20" ref="H234:H240">+B234+D234-F234</f>
        <v>536125</v>
      </c>
      <c r="J234" s="3">
        <v>536125.19</v>
      </c>
      <c r="K234" s="5">
        <f t="shared" si="19"/>
        <v>0.18999999994412065</v>
      </c>
      <c r="L234" s="22" t="s">
        <v>211</v>
      </c>
    </row>
    <row r="235" spans="1:12" ht="12.75">
      <c r="A235" s="12" t="s">
        <v>183</v>
      </c>
      <c r="B235" s="14">
        <v>0</v>
      </c>
      <c r="C235" s="12"/>
      <c r="D235" s="14">
        <v>2875830</v>
      </c>
      <c r="E235" s="12"/>
      <c r="F235" s="14">
        <v>2875830</v>
      </c>
      <c r="G235" s="12"/>
      <c r="H235" s="14">
        <f t="shared" si="20"/>
        <v>0</v>
      </c>
      <c r="J235" s="3">
        <v>0</v>
      </c>
      <c r="K235" s="5">
        <f t="shared" si="19"/>
        <v>0</v>
      </c>
      <c r="L235" s="25" t="s">
        <v>305</v>
      </c>
    </row>
    <row r="236" spans="1:12" ht="12.75">
      <c r="A236" s="12" t="s">
        <v>311</v>
      </c>
      <c r="B236" s="14">
        <v>0</v>
      </c>
      <c r="C236" s="12"/>
      <c r="D236" s="14">
        <v>39887</v>
      </c>
      <c r="E236" s="12"/>
      <c r="F236" s="14">
        <v>39887</v>
      </c>
      <c r="G236" s="12"/>
      <c r="H236" s="14">
        <f t="shared" si="20"/>
        <v>0</v>
      </c>
      <c r="J236" s="3">
        <v>0</v>
      </c>
      <c r="K236" s="5">
        <f t="shared" si="19"/>
        <v>0</v>
      </c>
      <c r="L236" s="25" t="s">
        <v>312</v>
      </c>
    </row>
    <row r="237" spans="1:12" ht="12.75">
      <c r="A237" s="12" t="s">
        <v>159</v>
      </c>
      <c r="B237" s="14">
        <v>251000</v>
      </c>
      <c r="C237" s="12"/>
      <c r="D237" s="14">
        <v>0</v>
      </c>
      <c r="E237" s="12"/>
      <c r="F237" s="14">
        <v>0</v>
      </c>
      <c r="G237" s="12"/>
      <c r="H237" s="14">
        <f t="shared" si="20"/>
        <v>251000</v>
      </c>
      <c r="J237" s="3">
        <v>251000</v>
      </c>
      <c r="K237" s="5">
        <f t="shared" si="19"/>
        <v>0</v>
      </c>
      <c r="L237" s="25" t="s">
        <v>295</v>
      </c>
    </row>
    <row r="238" spans="1:12" ht="12.75">
      <c r="A238" s="12" t="s">
        <v>181</v>
      </c>
      <c r="B238" s="14">
        <v>114549</v>
      </c>
      <c r="C238" s="12"/>
      <c r="D238" s="14">
        <v>0</v>
      </c>
      <c r="E238" s="12"/>
      <c r="F238" s="14">
        <v>0</v>
      </c>
      <c r="G238" s="12"/>
      <c r="H238" s="14">
        <f t="shared" si="20"/>
        <v>114549</v>
      </c>
      <c r="J238" s="3">
        <v>114548.57</v>
      </c>
      <c r="K238" s="5">
        <f t="shared" si="19"/>
        <v>-0.4299999999930151</v>
      </c>
      <c r="L238" s="22" t="s">
        <v>255</v>
      </c>
    </row>
    <row r="239" spans="1:12" ht="12.75">
      <c r="A239" s="12" t="s">
        <v>172</v>
      </c>
      <c r="B239" s="14">
        <v>1185707</v>
      </c>
      <c r="C239" s="12"/>
      <c r="D239" s="14">
        <v>0</v>
      </c>
      <c r="E239" s="12"/>
      <c r="F239" s="14">
        <v>19215</v>
      </c>
      <c r="G239" s="12"/>
      <c r="H239" s="14">
        <f t="shared" si="20"/>
        <v>1166492</v>
      </c>
      <c r="J239" s="3">
        <v>1166492</v>
      </c>
      <c r="K239" s="5">
        <f t="shared" si="19"/>
        <v>0</v>
      </c>
      <c r="L239" s="25" t="s">
        <v>300</v>
      </c>
    </row>
    <row r="240" spans="1:12" ht="12.75">
      <c r="A240" s="12" t="s">
        <v>307</v>
      </c>
      <c r="B240" s="14">
        <v>0</v>
      </c>
      <c r="C240" s="12"/>
      <c r="D240" s="14">
        <v>384041</v>
      </c>
      <c r="E240" s="12"/>
      <c r="F240" s="14">
        <v>384041</v>
      </c>
      <c r="G240" s="12"/>
      <c r="H240" s="14">
        <f t="shared" si="20"/>
        <v>0</v>
      </c>
      <c r="J240" s="3">
        <v>0</v>
      </c>
      <c r="K240" s="5">
        <f t="shared" si="19"/>
        <v>0</v>
      </c>
      <c r="L240" s="25" t="s">
        <v>308</v>
      </c>
    </row>
    <row r="241" spans="1:12" ht="12.75">
      <c r="A241" s="12" t="s">
        <v>167</v>
      </c>
      <c r="B241" s="12">
        <v>16213</v>
      </c>
      <c r="C241" s="12"/>
      <c r="D241" s="14">
        <v>0</v>
      </c>
      <c r="E241" s="12"/>
      <c r="F241" s="14">
        <v>0</v>
      </c>
      <c r="G241" s="12"/>
      <c r="H241" s="14">
        <f t="shared" si="18"/>
        <v>16213</v>
      </c>
      <c r="J241" s="3">
        <v>16213</v>
      </c>
      <c r="K241" s="5">
        <f t="shared" si="19"/>
        <v>0</v>
      </c>
      <c r="L241" s="25" t="s">
        <v>298</v>
      </c>
    </row>
    <row r="242" spans="1:12" ht="12.75">
      <c r="A242" s="12" t="s">
        <v>187</v>
      </c>
      <c r="B242" s="12">
        <v>31451</v>
      </c>
      <c r="C242" s="12"/>
      <c r="D242" s="14">
        <v>0</v>
      </c>
      <c r="E242" s="12"/>
      <c r="F242" s="14">
        <v>0</v>
      </c>
      <c r="G242" s="12"/>
      <c r="H242" s="14">
        <f t="shared" si="18"/>
        <v>31451</v>
      </c>
      <c r="J242" s="3">
        <v>31451</v>
      </c>
      <c r="K242" s="5">
        <f t="shared" si="19"/>
        <v>0</v>
      </c>
      <c r="L242" s="25" t="s">
        <v>301</v>
      </c>
    </row>
    <row r="243" spans="1:12" ht="12.75">
      <c r="A243" s="12" t="s">
        <v>128</v>
      </c>
      <c r="B243" s="12">
        <v>510482</v>
      </c>
      <c r="C243" s="12"/>
      <c r="D243" s="14">
        <v>0</v>
      </c>
      <c r="E243" s="12"/>
      <c r="F243" s="14">
        <v>0</v>
      </c>
      <c r="G243" s="12"/>
      <c r="H243" s="14">
        <f t="shared" si="18"/>
        <v>510482</v>
      </c>
      <c r="J243" s="3">
        <v>510482</v>
      </c>
      <c r="K243" s="5">
        <f t="shared" si="19"/>
        <v>0</v>
      </c>
      <c r="L243" s="25" t="s">
        <v>296</v>
      </c>
    </row>
    <row r="244" spans="1:12" ht="12.75">
      <c r="A244" s="12" t="s">
        <v>122</v>
      </c>
      <c r="B244" s="12">
        <v>375788</v>
      </c>
      <c r="C244" s="12"/>
      <c r="D244" s="14">
        <f>263028+1</f>
        <v>263029</v>
      </c>
      <c r="E244" s="12"/>
      <c r="F244" s="14">
        <f>649020</f>
        <v>649020</v>
      </c>
      <c r="G244" s="12"/>
      <c r="H244" s="14">
        <f t="shared" si="18"/>
        <v>-10203</v>
      </c>
      <c r="J244" s="3">
        <v>-10203.15</v>
      </c>
      <c r="K244" s="5">
        <f t="shared" si="19"/>
        <v>-0.1499999999996362</v>
      </c>
      <c r="L244" s="22" t="s">
        <v>215</v>
      </c>
    </row>
    <row r="245" spans="1:12" ht="12.75">
      <c r="A245" s="12" t="s">
        <v>309</v>
      </c>
      <c r="B245" s="12">
        <v>0</v>
      </c>
      <c r="C245" s="12"/>
      <c r="D245" s="14">
        <v>633155</v>
      </c>
      <c r="E245" s="12"/>
      <c r="F245" s="14">
        <v>633155</v>
      </c>
      <c r="G245" s="12"/>
      <c r="H245" s="14">
        <f t="shared" si="18"/>
        <v>0</v>
      </c>
      <c r="J245" s="3">
        <v>0</v>
      </c>
      <c r="K245" s="5">
        <f t="shared" si="19"/>
        <v>0</v>
      </c>
      <c r="L245" s="25" t="s">
        <v>310</v>
      </c>
    </row>
    <row r="246" spans="1:12" ht="12.75">
      <c r="A246" s="12" t="s">
        <v>190</v>
      </c>
      <c r="B246" s="12">
        <v>107414</v>
      </c>
      <c r="C246" s="12"/>
      <c r="D246" s="14">
        <v>-107414</v>
      </c>
      <c r="E246" s="12"/>
      <c r="F246" s="14">
        <v>0</v>
      </c>
      <c r="G246" s="12"/>
      <c r="H246" s="14">
        <f t="shared" si="18"/>
        <v>0</v>
      </c>
      <c r="J246" s="3">
        <v>0</v>
      </c>
      <c r="K246" s="5">
        <f t="shared" si="19"/>
        <v>0</v>
      </c>
      <c r="L246" s="25" t="s">
        <v>297</v>
      </c>
    </row>
    <row r="247" spans="1:12" ht="12.75">
      <c r="A247" s="12" t="s">
        <v>186</v>
      </c>
      <c r="B247" s="12">
        <v>4145929</v>
      </c>
      <c r="C247" s="12"/>
      <c r="D247" s="14">
        <v>-400000</v>
      </c>
      <c r="E247" s="12"/>
      <c r="F247" s="14">
        <v>3495877</v>
      </c>
      <c r="G247" s="12"/>
      <c r="H247" s="14">
        <f t="shared" si="18"/>
        <v>250052</v>
      </c>
      <c r="J247" s="3">
        <v>250052.22</v>
      </c>
      <c r="K247" s="5">
        <f t="shared" si="19"/>
        <v>0.22000000000116415</v>
      </c>
      <c r="L247" s="25" t="s">
        <v>303</v>
      </c>
    </row>
    <row r="248" spans="1:12" ht="12.75">
      <c r="A248" s="12" t="s">
        <v>182</v>
      </c>
      <c r="B248" s="12">
        <v>1823613</v>
      </c>
      <c r="C248" s="12"/>
      <c r="D248" s="14">
        <v>0</v>
      </c>
      <c r="E248" s="12"/>
      <c r="F248" s="14">
        <v>110875</v>
      </c>
      <c r="G248" s="12"/>
      <c r="H248" s="14">
        <f t="shared" si="18"/>
        <v>1712738</v>
      </c>
      <c r="J248" s="3">
        <v>1712737.7</v>
      </c>
      <c r="K248" s="5">
        <f t="shared" si="19"/>
        <v>-0.30000000004656613</v>
      </c>
      <c r="L248" s="25" t="s">
        <v>306</v>
      </c>
    </row>
    <row r="249" spans="1:13" ht="12.75">
      <c r="A249" s="12" t="s">
        <v>234</v>
      </c>
      <c r="B249" s="12">
        <v>0</v>
      </c>
      <c r="C249" s="12"/>
      <c r="D249" s="14">
        <f>1285841+292072</f>
        <v>1577913</v>
      </c>
      <c r="E249" s="12"/>
      <c r="F249" s="14">
        <f>1285841+292072</f>
        <v>1577913</v>
      </c>
      <c r="G249" s="12"/>
      <c r="H249" s="14">
        <f t="shared" si="18"/>
        <v>0</v>
      </c>
      <c r="J249" s="3">
        <v>0</v>
      </c>
      <c r="K249" s="5">
        <f t="shared" si="19"/>
        <v>0</v>
      </c>
      <c r="L249" s="25" t="s">
        <v>235</v>
      </c>
      <c r="M249" s="25" t="s">
        <v>313</v>
      </c>
    </row>
    <row r="250" spans="1:12" ht="12.75">
      <c r="A250" s="12" t="s">
        <v>184</v>
      </c>
      <c r="B250" s="12">
        <v>0</v>
      </c>
      <c r="C250" s="12"/>
      <c r="D250" s="14">
        <v>3080353</v>
      </c>
      <c r="E250" s="12"/>
      <c r="F250" s="14">
        <v>3080353</v>
      </c>
      <c r="G250" s="12"/>
      <c r="H250" s="14">
        <f t="shared" si="18"/>
        <v>0</v>
      </c>
      <c r="J250" s="3">
        <v>0</v>
      </c>
      <c r="K250" s="5">
        <f t="shared" si="19"/>
        <v>0</v>
      </c>
      <c r="L250" s="25" t="s">
        <v>304</v>
      </c>
    </row>
    <row r="251" spans="1:12" ht="12.75">
      <c r="A251" s="12" t="s">
        <v>158</v>
      </c>
      <c r="B251" s="14">
        <v>0</v>
      </c>
      <c r="C251" s="12"/>
      <c r="D251" s="14">
        <v>1175</v>
      </c>
      <c r="E251" s="12"/>
      <c r="F251" s="14">
        <v>1175</v>
      </c>
      <c r="G251" s="12"/>
      <c r="H251" s="14">
        <f t="shared" si="18"/>
        <v>0</v>
      </c>
      <c r="J251" s="3">
        <v>0</v>
      </c>
      <c r="K251" s="5">
        <f t="shared" si="19"/>
        <v>0</v>
      </c>
      <c r="L251" s="22" t="s">
        <v>225</v>
      </c>
    </row>
    <row r="252" spans="1:17" ht="12.75">
      <c r="A252" s="12" t="s">
        <v>59</v>
      </c>
      <c r="B252" s="20">
        <f>SUM(B232:B251)</f>
        <v>12288547</v>
      </c>
      <c r="C252" s="12"/>
      <c r="D252" s="20">
        <f>SUM(D232:D251)</f>
        <v>9387307</v>
      </c>
      <c r="E252" s="12"/>
      <c r="F252" s="20">
        <f>SUM(F232:F251)</f>
        <v>16996955</v>
      </c>
      <c r="G252" s="12"/>
      <c r="H252" s="20">
        <f>SUM(H232:H251)</f>
        <v>4678899</v>
      </c>
      <c r="J252" s="58">
        <f>SUM(J232:J251)</f>
        <v>4678898.53</v>
      </c>
      <c r="K252" s="5">
        <f t="shared" si="19"/>
        <v>-0.4699999997392297</v>
      </c>
      <c r="P252" s="61"/>
      <c r="Q252" s="61"/>
    </row>
    <row r="253" spans="1:8" ht="12.75">
      <c r="A253" s="12"/>
      <c r="B253" s="14"/>
      <c r="C253" s="12"/>
      <c r="D253" s="14"/>
      <c r="E253" s="12"/>
      <c r="F253" s="14"/>
      <c r="G253" s="12"/>
      <c r="H253" s="14"/>
    </row>
    <row r="254" spans="1:11" ht="13.5" thickBot="1">
      <c r="A254" s="12" t="s">
        <v>40</v>
      </c>
      <c r="B254" s="32">
        <f>B252+B198+B175+B43+B26+B229</f>
        <v>159657564</v>
      </c>
      <c r="C254" s="12"/>
      <c r="D254" s="32">
        <f>D252+D198+D175+D43+D26+D229</f>
        <v>39803631</v>
      </c>
      <c r="E254" s="12"/>
      <c r="F254" s="32">
        <f>F252+F198+F175+F43+F26+F229</f>
        <v>64231293</v>
      </c>
      <c r="G254" s="12"/>
      <c r="H254" s="32">
        <f>H252+H198+H175+H43+H26+H229</f>
        <v>135229902</v>
      </c>
      <c r="J254" s="3">
        <f>J252+J229+J198+J175+J43</f>
        <v>135229901.33999997</v>
      </c>
      <c r="K254" s="5">
        <f>K252+K229+K198+K175+K43</f>
        <v>-0.6600000341713894</v>
      </c>
    </row>
    <row r="255" spans="1:8" ht="13.5" thickTop="1">
      <c r="A255" s="12"/>
      <c r="B255" s="12"/>
      <c r="C255" s="12"/>
      <c r="D255" s="12"/>
      <c r="E255" s="12"/>
      <c r="F255" s="12"/>
      <c r="G255" s="12"/>
      <c r="H255" s="12"/>
    </row>
    <row r="256" spans="1:8" ht="12.75">
      <c r="A256" s="12"/>
      <c r="B256" s="12"/>
      <c r="C256" s="12"/>
      <c r="D256" s="12"/>
      <c r="E256" s="12"/>
      <c r="F256" s="12"/>
      <c r="G256" s="12"/>
      <c r="H256" s="12"/>
    </row>
    <row r="257" spans="1:8" ht="12.75">
      <c r="A257" s="12"/>
      <c r="B257" s="12"/>
      <c r="C257" s="12"/>
      <c r="D257" s="12"/>
      <c r="E257" s="12"/>
      <c r="F257" s="12"/>
      <c r="G257" s="12"/>
      <c r="H257" s="12"/>
    </row>
    <row r="258" spans="1:8" ht="12.75">
      <c r="A258" s="12"/>
      <c r="B258" s="12"/>
      <c r="C258" s="12"/>
      <c r="D258" s="12"/>
      <c r="E258" s="12"/>
      <c r="F258" s="12"/>
      <c r="G258" s="12"/>
      <c r="H258" s="12"/>
    </row>
    <row r="259" spans="1:8" ht="12.75">
      <c r="A259" s="12"/>
      <c r="B259" s="12"/>
      <c r="C259" s="12"/>
      <c r="D259" s="12"/>
      <c r="E259" s="12"/>
      <c r="F259" s="12"/>
      <c r="G259" s="12"/>
      <c r="H259" s="12"/>
    </row>
    <row r="260" spans="1:8" ht="12.75">
      <c r="A260" s="12"/>
      <c r="B260" s="12"/>
      <c r="C260" s="12"/>
      <c r="D260" s="12"/>
      <c r="E260" s="12"/>
      <c r="F260" s="12"/>
      <c r="G260" s="12"/>
      <c r="H260" s="12"/>
    </row>
    <row r="261" spans="1:10" ht="12.75">
      <c r="A261" s="33" t="s">
        <v>4</v>
      </c>
      <c r="B261" s="12">
        <v>159657565.03</v>
      </c>
      <c r="C261" s="12"/>
      <c r="D261" s="12">
        <v>20405309.21</v>
      </c>
      <c r="E261" s="12">
        <v>0</v>
      </c>
      <c r="F261" s="12">
        <v>44832971.9</v>
      </c>
      <c r="G261" s="12"/>
      <c r="H261" s="12">
        <v>135229902.34</v>
      </c>
      <c r="J261" s="3">
        <v>-1</v>
      </c>
    </row>
    <row r="262" spans="1:8" ht="12.75">
      <c r="A262" s="33" t="s">
        <v>3</v>
      </c>
      <c r="B262" s="34">
        <f>B254</f>
        <v>159657564</v>
      </c>
      <c r="C262" s="12"/>
      <c r="D262" s="34">
        <f>D254</f>
        <v>39803631</v>
      </c>
      <c r="E262" s="12"/>
      <c r="F262" s="34">
        <f>F254</f>
        <v>64231293</v>
      </c>
      <c r="G262" s="12"/>
      <c r="H262" s="34">
        <f>H254</f>
        <v>135229902</v>
      </c>
    </row>
    <row r="263" spans="1:8" ht="12.75">
      <c r="A263" s="12"/>
      <c r="B263" s="12"/>
      <c r="C263" s="12"/>
      <c r="D263" s="12"/>
      <c r="E263" s="12"/>
      <c r="F263" s="12"/>
      <c r="G263" s="12"/>
      <c r="H263" s="12"/>
    </row>
    <row r="264" spans="1:8" ht="12.75">
      <c r="A264" s="12"/>
      <c r="B264" s="12">
        <f>B261-B262</f>
        <v>1.030000001192093</v>
      </c>
      <c r="C264" s="12"/>
      <c r="D264" s="12">
        <f>D261-D262</f>
        <v>-19398321.79</v>
      </c>
      <c r="E264" s="12"/>
      <c r="F264" s="12">
        <f>F261-F262</f>
        <v>-19398321.1</v>
      </c>
      <c r="G264" s="12"/>
      <c r="H264" s="12">
        <f>H261-H262</f>
        <v>0.3400000035762787</v>
      </c>
    </row>
    <row r="265" spans="1:8" ht="12.75">
      <c r="A265" s="33" t="s">
        <v>62</v>
      </c>
      <c r="B265" s="35">
        <v>0</v>
      </c>
      <c r="D265" s="35">
        <v>19398321</v>
      </c>
      <c r="F265" s="35">
        <v>19398321</v>
      </c>
      <c r="H265" s="35">
        <v>0</v>
      </c>
    </row>
    <row r="266" spans="1:8" ht="12.75">
      <c r="A266" s="12"/>
      <c r="B266" s="36">
        <f>B264+B265</f>
        <v>1.030000001192093</v>
      </c>
      <c r="D266" s="36">
        <f>D264+D265</f>
        <v>-0.7899999991059303</v>
      </c>
      <c r="F266" s="36">
        <f>F264+F265</f>
        <v>-0.10000000149011612</v>
      </c>
      <c r="H266" s="36">
        <f>H264+H265</f>
        <v>0.3400000035762787</v>
      </c>
    </row>
    <row r="267" ht="12.75">
      <c r="A267" s="37"/>
    </row>
    <row r="268" spans="1:8" ht="12.75">
      <c r="A268" s="37"/>
      <c r="B268" s="37"/>
      <c r="C268" s="37"/>
      <c r="D268" s="37"/>
      <c r="E268" s="37"/>
      <c r="F268" s="37"/>
      <c r="G268" s="37"/>
      <c r="H268" s="37"/>
    </row>
    <row r="269" spans="1:8" ht="12.75">
      <c r="A269" s="38" t="s">
        <v>2</v>
      </c>
      <c r="B269" s="37"/>
      <c r="C269" s="37"/>
      <c r="D269" s="37"/>
      <c r="E269" s="37"/>
      <c r="F269" s="37"/>
      <c r="G269" s="37"/>
      <c r="H269" s="37"/>
    </row>
    <row r="270" spans="1:8" ht="12.75">
      <c r="A270" s="38" t="s">
        <v>2</v>
      </c>
      <c r="B270" s="37"/>
      <c r="C270" s="37"/>
      <c r="D270" s="37"/>
      <c r="E270" s="37"/>
      <c r="F270" s="37"/>
      <c r="G270" s="37"/>
      <c r="H270" s="37"/>
    </row>
    <row r="271" spans="1:8" ht="12.75">
      <c r="A271" s="37"/>
      <c r="B271" s="37"/>
      <c r="C271" s="37"/>
      <c r="D271" s="37"/>
      <c r="E271" s="37"/>
      <c r="F271" s="37"/>
      <c r="G271" s="37"/>
      <c r="H271" s="37"/>
    </row>
    <row r="272" spans="1:8" ht="12.75">
      <c r="A272" s="37"/>
      <c r="B272" s="37"/>
      <c r="C272" s="37"/>
      <c r="D272" s="37"/>
      <c r="E272" s="37"/>
      <c r="F272" s="37"/>
      <c r="G272" s="37"/>
      <c r="H272" s="37"/>
    </row>
    <row r="273" spans="1:8" ht="12.75">
      <c r="A273" s="37"/>
      <c r="B273" s="37"/>
      <c r="C273" s="37"/>
      <c r="D273" s="37"/>
      <c r="E273" s="37"/>
      <c r="F273" s="37"/>
      <c r="G273" s="37"/>
      <c r="H273" s="37"/>
    </row>
    <row r="274" spans="1:8" ht="12.75">
      <c r="A274" s="37"/>
      <c r="B274" s="37"/>
      <c r="C274" s="37"/>
      <c r="D274" s="37"/>
      <c r="E274" s="37"/>
      <c r="F274" s="37"/>
      <c r="G274" s="37"/>
      <c r="H274" s="37"/>
    </row>
    <row r="275" spans="1:8" ht="12.75">
      <c r="A275" s="37"/>
      <c r="B275" s="37"/>
      <c r="C275" s="37"/>
      <c r="D275" s="37"/>
      <c r="E275" s="37"/>
      <c r="F275" s="37"/>
      <c r="G275" s="37"/>
      <c r="H275" s="37"/>
    </row>
    <row r="276" spans="1:8" ht="12.75">
      <c r="A276" s="37"/>
      <c r="B276" s="37"/>
      <c r="C276" s="37"/>
      <c r="D276" s="37"/>
      <c r="E276" s="37"/>
      <c r="F276" s="37"/>
      <c r="G276" s="37"/>
      <c r="H276" s="37"/>
    </row>
    <row r="277" spans="1:8" ht="12.75">
      <c r="A277" s="37"/>
      <c r="B277" s="37"/>
      <c r="C277" s="37"/>
      <c r="D277" s="37"/>
      <c r="E277" s="37"/>
      <c r="F277" s="37"/>
      <c r="G277" s="37"/>
      <c r="H277" s="37"/>
    </row>
    <row r="278" spans="1:8" ht="12.75">
      <c r="A278" s="37"/>
      <c r="B278" s="37"/>
      <c r="C278" s="37"/>
      <c r="D278" s="37"/>
      <c r="E278" s="37"/>
      <c r="F278" s="37"/>
      <c r="G278" s="37"/>
      <c r="H278" s="37"/>
    </row>
    <row r="279" spans="1:8" ht="12.75">
      <c r="A279" s="37"/>
      <c r="B279" s="37"/>
      <c r="C279" s="37"/>
      <c r="D279" s="37"/>
      <c r="E279" s="37"/>
      <c r="F279" s="37"/>
      <c r="G279" s="37"/>
      <c r="H279" s="37"/>
    </row>
    <row r="280" spans="1:8" ht="12.75">
      <c r="A280" s="37"/>
      <c r="B280" s="37"/>
      <c r="C280" s="37"/>
      <c r="D280" s="37"/>
      <c r="E280" s="37"/>
      <c r="F280" s="37"/>
      <c r="G280" s="37"/>
      <c r="H280" s="37"/>
    </row>
    <row r="281" spans="1:8" ht="12.75">
      <c r="A281" s="37"/>
      <c r="B281" s="37"/>
      <c r="C281" s="37"/>
      <c r="D281" s="37"/>
      <c r="E281" s="37"/>
      <c r="F281" s="37"/>
      <c r="G281" s="37"/>
      <c r="H281" s="37"/>
    </row>
    <row r="282" spans="1:8" ht="12.75">
      <c r="A282" s="37"/>
      <c r="B282" s="37"/>
      <c r="C282" s="37"/>
      <c r="D282" s="37"/>
      <c r="E282" s="37"/>
      <c r="F282" s="37"/>
      <c r="G282" s="37"/>
      <c r="H282" s="37"/>
    </row>
  </sheetData>
  <sheetProtection/>
  <mergeCells count="6">
    <mergeCell ref="B6:H6"/>
    <mergeCell ref="C4:G4"/>
    <mergeCell ref="B3:H3"/>
    <mergeCell ref="B5:H5"/>
    <mergeCell ref="A3:A6"/>
    <mergeCell ref="P252:Q252"/>
  </mergeCells>
  <conditionalFormatting sqref="A91:A92 A230:H254 A12:H90 A93:H228">
    <cfRule type="expression" priority="13" dxfId="0" stopIfTrue="1">
      <formula>MOD(ROW(),2)=0</formula>
    </cfRule>
  </conditionalFormatting>
  <conditionalFormatting sqref="B91:H92">
    <cfRule type="expression" priority="9" dxfId="0" stopIfTrue="1">
      <formula>MOD(ROW(),2)=0</formula>
    </cfRule>
  </conditionalFormatting>
  <conditionalFormatting sqref="A229:H229">
    <cfRule type="expression" priority="3" dxfId="0" stopIfTrue="1">
      <formula>MOD(ROW(),2)=0</formula>
    </cfRule>
  </conditionalFormatting>
  <printOptions horizontalCentered="1"/>
  <pageMargins left="0.5" right="0.5" top="0.75" bottom="0.75" header="0.3" footer="0.3"/>
  <pageSetup fitToHeight="0" fitToWidth="1" horizontalDpi="600" verticalDpi="600" orientation="portrait" scale="88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2017-09-05T21:09:23Z</cp:lastPrinted>
  <dcterms:created xsi:type="dcterms:W3CDTF">2004-07-20T19:35:16Z</dcterms:created>
  <dcterms:modified xsi:type="dcterms:W3CDTF">2019-01-25T20:58:15Z</dcterms:modified>
  <cp:category/>
  <cp:version/>
  <cp:contentType/>
  <cp:contentStatus/>
</cp:coreProperties>
</file>